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B0D8E70A-4E69-4230-8D1E-7A7C10308B37}" xr6:coauthVersionLast="47" xr6:coauthVersionMax="47" xr10:uidLastSave="{00000000-0000-0000-0000-000000000000}"/>
  <workbookProtection workbookAlgorithmName="SHA-512" workbookHashValue="EnNjS9yAob7z3Ytf5kjoXthBPBzS2fIhKcT4g2kyOmaFByS4mMmlU3982hBErUtlow1PrOxqc5tfgP2LVFCnrw==" workbookSaltValue="l9cY4Ra1d3q0R6f0XBEMdw==" workbookSpinCount="100000" lockStructure="1"/>
  <bookViews>
    <workbookView showSheetTabs="0" xWindow="1520" yWindow="1520" windowWidth="28800" windowHeight="15370" xr2:uid="{00000000-000D-0000-FFFF-FFFF00000000}"/>
  </bookViews>
  <sheets>
    <sheet name="WISH" sheetId="13" r:id="rId1"/>
    <sheet name="Configuration" sheetId="7" state="hidden" r:id="rId2"/>
    <sheet name="$DB.DATA" sheetId="4" state="hidden" r:id="rId3"/>
    <sheet name="$DB.LOOKUP" sheetId="2" state="hidden" r:id="rId4"/>
    <sheet name="$DB.CONFIG" sheetId="3" state="hidden" r:id="rId5"/>
    <sheet name="$DB.EXPORT" sheetId="5" state="hidden" r:id="rId6"/>
  </sheets>
  <externalReferences>
    <externalReference r:id="rId7"/>
  </externalReferences>
  <definedNames>
    <definedName name="_xlnm._FilterDatabase" localSheetId="3" hidden="1">'$DB.LOOKUP'!$L$2:$M$2</definedName>
    <definedName name="COMPANY_LOGO">"FOOTER_BG,WELCOME_HEADER_IMG"</definedName>
    <definedName name="CONFIG_APP_INSTRUCTIONS_TITLE">'[1]$DB.CONFIG'!$D$9</definedName>
    <definedName name="CONFIG_APR_DIFF_THRESHOLD">'$DB.CONFIG'!$D$21</definedName>
    <definedName name="CONFIG_CHAR_LIMIT_TEMPLATE">'$DB.CONFIG'!$D$14</definedName>
    <definedName name="CONFIG_CHAR_LIMIT_TEMPLATE_ERR">'$DB.CONFIG'!$D$15</definedName>
    <definedName name="CONFIG_EARLIEST_AWARD_DATE">'[1]$DB.CONFIG'!$D$6</definedName>
    <definedName name="CONFIG_EFORM_VERSION_DISP">'$DB.CONFIG'!$D$4</definedName>
    <definedName name="CONFIG_HOUSING_EXP_RATIO_LIMIT">'$DB.CONFIG'!$D$23</definedName>
    <definedName name="CONFIG_HOUSING_EXP_RATIO_THRESHOLD">'$DB.CONFIG'!$D$22</definedName>
    <definedName name="CONFIG_IDEA_SAVINGS_MONTH_MIN">'$DB.CONFIG'!$D$16</definedName>
    <definedName name="CONFIG_IDEA_TERM_LIMIT_YEARS">'$DB.CONFIG'!$D$18</definedName>
    <definedName name="CONFIG_INCOME_TO_AMI_FLOOR">'$DB.CONFIG'!$D$19</definedName>
    <definedName name="CONFIG_INCOME_TO_AMI_LIMIT">'$DB.CONFIG'!$D$20</definedName>
    <definedName name="CONFIG_SECOND_MTG_INT_RATE_FLOOR">'$DB.CONFIG'!$D$24</definedName>
    <definedName name="CONFIG_SUBSIDY_MAX_TOTAL">'$DB.CONFIG'!$D$10</definedName>
    <definedName name="CONFIG_WISH_TERM_LIMIT_YEARS">'$DB.CONFIG'!$D$17</definedName>
    <definedName name="COUNTY_RANGE_">'$DB.LOOKUP'!$M$1</definedName>
    <definedName name="COUNTY_RANGE_AK">'$DB.LOOKUP'!$L$70:$L$94</definedName>
    <definedName name="COUNTY_RANGE_AL">'$DB.LOOKUP'!$L$3:$L$69</definedName>
    <definedName name="COUNTY_RANGE_AR">'$DB.LOOKUP'!$L$110:$L$184</definedName>
    <definedName name="COUNTY_RANGE_AZ">'$DB.LOOKUP'!$L$95:$L$109</definedName>
    <definedName name="COUNTY_RANGE_CA">'$DB.LOOKUP'!$L$185:$L$242</definedName>
    <definedName name="COUNTY_RANGE_CO">'$DB.LOOKUP'!$L$243:$L$305</definedName>
    <definedName name="COUNTY_RANGE_CT">'$DB.LOOKUP'!$L$306:$L$313</definedName>
    <definedName name="COUNTY_RANGE_DC">'$DB.LOOKUP'!$L$317</definedName>
    <definedName name="COUNTY_RANGE_DE">'$DB.LOOKUP'!$L$314:$L$316</definedName>
    <definedName name="COUNTY_RANGE_FL">'$DB.LOOKUP'!$L$318:$L$384</definedName>
    <definedName name="COUNTY_RANGE_GA">'$DB.LOOKUP'!$L$385:$L$543</definedName>
    <definedName name="COUNTY_RANGE_GU">'$DB.LOOKUP'!$L$544</definedName>
    <definedName name="COUNTY_RANGE_HI">'$DB.LOOKUP'!$L$545:$L$549</definedName>
    <definedName name="COUNTY_RANGE_IA">'$DB.LOOKUP'!$L$788:$L$886</definedName>
    <definedName name="COUNTY_RANGE_ID">'$DB.LOOKUP'!$L$550:$L$593</definedName>
    <definedName name="COUNTY_RANGE_IL">'$DB.LOOKUP'!$L$594:$L$695</definedName>
    <definedName name="COUNTY_RANGE_IN">'$DB.LOOKUP'!$L$696:$L$787</definedName>
    <definedName name="COUNTY_RANGE_KS">'$DB.LOOKUP'!$L$887:$L$991</definedName>
    <definedName name="COUNTY_RANGE_KY">'$DB.LOOKUP'!$L$992:$L$1111</definedName>
    <definedName name="COUNTY_RANGE_LA">'$DB.LOOKUP'!$L$1112:$L$1175</definedName>
    <definedName name="COUNTY_RANGE_MA">'$DB.LOOKUP'!$L$1216:$L$1229</definedName>
    <definedName name="COUNTY_RANGE_MD">'$DB.LOOKUP'!$L$1192:$L$1215</definedName>
    <definedName name="COUNTY_RANGE_ME">'$DB.LOOKUP'!$L$1176:$L$1191</definedName>
    <definedName name="COUNTY_RANGE_MI">'$DB.LOOKUP'!$L$1230:$L$1312</definedName>
    <definedName name="COUNTY_RANGE_MN">'$DB.LOOKUP'!$L$1313:$L$1399</definedName>
    <definedName name="COUNTY_RANGE_MO">'$DB.LOOKUP'!$L$1482:$L$1596</definedName>
    <definedName name="COUNTY_RANGE_MS">'$DB.LOOKUP'!$L$1400:$L$1481</definedName>
    <definedName name="COUNTY_RANGE_MT">'$DB.LOOKUP'!$L$1597:$L$1653</definedName>
    <definedName name="COUNTY_RANGE_NC">'$DB.LOOKUP'!$L$1890:$L$1989</definedName>
    <definedName name="COUNTY_RANGE_ND">'$DB.LOOKUP'!$L$1990:$L$2042</definedName>
    <definedName name="COUNTY_RANGE_NE">'$DB.LOOKUP'!$L$1654:$L$1746</definedName>
    <definedName name="COUNTY_RANGE_NH">'$DB.LOOKUP'!$L$1764:$L$1773</definedName>
    <definedName name="COUNTY_RANGE_NJ">'$DB.LOOKUP'!$L$1774:$L$1794</definedName>
    <definedName name="COUNTY_RANGE_NM">'$DB.LOOKUP'!$L$1795:$L$1827</definedName>
    <definedName name="COUNTY_RANGE_NV">'$DB.LOOKUP'!$L$1747:$L$1763</definedName>
    <definedName name="COUNTY_RANGE_NY">'$DB.LOOKUP'!$L$1828:$L$1889</definedName>
    <definedName name="COUNTY_RANGE_OH">'$DB.LOOKUP'!$L$2043:$L$2130</definedName>
    <definedName name="COUNTY_RANGE_OK">'$DB.LOOKUP'!$L$2131:$L$2207</definedName>
    <definedName name="COUNTY_RANGE_OR">'$DB.LOOKUP'!$L$2208:$L$2243</definedName>
    <definedName name="COUNTY_RANGE_PA">'$DB.LOOKUP'!$L$2244:$L$2310</definedName>
    <definedName name="COUNTY_RANGE_PR">'$DB.LOOKUP'!$L$3145:$L$3222</definedName>
    <definedName name="COUNTY_RANGE_RI">'$DB.LOOKUP'!$L$2311:$L$2315</definedName>
    <definedName name="COUNTY_RANGE_SC">'$DB.LOOKUP'!$L$2316:$L$2361</definedName>
    <definedName name="COUNTY_RANGE_SD">'$DB.LOOKUP'!$L$2362:$L$2427</definedName>
    <definedName name="COUNTY_RANGE_TN">'$DB.LOOKUP'!$L$2428:$L$2522</definedName>
    <definedName name="COUNTY_RANGE_TX">'$DB.LOOKUP'!$L$2523:$L$2776</definedName>
    <definedName name="COUNTY_RANGE_UT">'$DB.LOOKUP'!$L$2777:$L$2805</definedName>
    <definedName name="COUNTY_RANGE_VA">'$DB.LOOKUP'!$L$2820:$L$2955</definedName>
    <definedName name="COUNTY_RANGE_VI">'$DB.LOOKUP'!$L$3223:$L$3225</definedName>
    <definedName name="COUNTY_RANGE_VT">'$DB.LOOKUP'!$L$2806:$L$2819</definedName>
    <definedName name="COUNTY_RANGE_WA">'$DB.LOOKUP'!$L$2956:$L$2994</definedName>
    <definedName name="COUNTY_RANGE_WI">'$DB.LOOKUP'!$L$3050:$L$3121</definedName>
    <definedName name="COUNTY_RANGE_WV">'$DB.LOOKUP'!$L$2995:$L$3049</definedName>
    <definedName name="COUNTY_RANGE_WY">'$DB.LOOKUP'!$L$3122:$L$3144</definedName>
    <definedName name="DATA_HOMEBUYER_1_ETHNICITY">'$DB.DATA'!$H$29</definedName>
    <definedName name="DATA_HOMEBUYER_2_ETHNICITY">'$DB.DATA'!$H$38</definedName>
    <definedName name="DATA_HOMEBUYER_2_FIRST_NAME">'$DB.DATA'!$H$14</definedName>
    <definedName name="DATA_HOMEBUYER_2_LAST_NAME">'$DB.DATA'!$H$16</definedName>
    <definedName name="DATA_HOMEBUYER_2_MIDDLE_NAME">'$DB.DATA'!$H$15</definedName>
    <definedName name="DATA_HOUSEHOLD_INCOME">'$DB.DATA'!$H$51</definedName>
    <definedName name="DATA_HUD_AMI_LIMIT">'$DB.DATA'!$H$53</definedName>
    <definedName name="ESCROW_OPEN_DATE_REQUIRED">'$DB.DATA'!$F$75</definedName>
    <definedName name="FINAL_SAVINGS_DEPOSIT_DATE">'$DB.DATA'!$H$26</definedName>
    <definedName name="FIRST_MORTGAGE_APR">'$DB.DATA'!$H$66</definedName>
    <definedName name="FIRST_MORTGAGE_APR_EXPLANATION_OTHER_REQUIRED">'$DB.DATA'!$F$68</definedName>
    <definedName name="FIRST_MORTGAGE_APR_EXPLANATION_PRESET_REQUIRED">'$DB.DATA'!$F$67</definedName>
    <definedName name="FIRST_MORTGAGE_APR_EXPLANATION_REQUIRED">'$DB.DATA'!$F$69</definedName>
    <definedName name="FIRST_MORTGAGE_EXPLANATION_OTHER">'$DB.LOOKUP'!$W$4</definedName>
    <definedName name="FIRST_MORTGAGE_RATE">'$DB.DATA'!$H$65</definedName>
    <definedName name="FIRST_NAME">'$DB.DATA'!$H$10</definedName>
    <definedName name="FIRST_SAVINGS_DEPOSIT_DATE">'$DB.DATA'!$H$25</definedName>
    <definedName name="HOEPA_FIRST_MORTGAGE_EXPLANATION_REQUIRED">'$DB.DATA'!$F$73</definedName>
    <definedName name="HOEPA_FLAG_FIRST_MORTGAGE">'$DB.DATA'!$H$72</definedName>
    <definedName name="HOEPA_FLAG_SECOND_MORTGAGE">'$DB.DATA'!$H$87</definedName>
    <definedName name="HOEPA_SECOND_MORTGAGE_EXPLANATION_REQUIRED">'$DB.DATA'!$F$88</definedName>
    <definedName name="HOMEOWNER_CONTRIBUTION_AMOUNT">'$DB.DATA'!$H$23</definedName>
    <definedName name="HOUSING_EXPENSE_INCOME_RATIO_EXPLANATION_REQUIRED">'$DB.DATA'!$F$79</definedName>
    <definedName name="LAST_NAME">'$DB.DATA'!$H$12</definedName>
    <definedName name="LOAN_CLOSING_DATE">'$DB.DATA'!$H$74</definedName>
    <definedName name="LOOKUP_APPTYPE_WISH">'$DB.LOOKUP'!$A$3</definedName>
    <definedName name="MIDDLE_NAME">'$DB.DATA'!$H$11</definedName>
    <definedName name="OTHER_GRANTS_FLAG">'$DB.DATA'!$H$89</definedName>
    <definedName name="_xlnm.Print_Area" localSheetId="1">Configuration!$A$1:$R$19</definedName>
    <definedName name="_xlnm.Print_Area" localSheetId="0">WISH!$H$1:$Y$99</definedName>
    <definedName name="_xlnm.Print_Titles" localSheetId="1">Configuration!$1:$2</definedName>
    <definedName name="PROGRAM_ENROLLMENT_DATE">'$DB.DATA'!$H$48</definedName>
    <definedName name="RANGE_LOOKUP_COUNTY_PLACEHOLDER">'$DB.LOOKUP'!$O$3</definedName>
    <definedName name="RANGE_LOOKUP_ETHNICITY">'$DB.LOOKUP'!$Z$3:$Z$5</definedName>
    <definedName name="RANGE_LOOKUP_FIRSTMTG_EXPLANATION">'$DB.LOOKUP'!$W$3:$W$4</definedName>
    <definedName name="RANGE_LOOKUP_MORTGAGETYPE">'$DB.LOOKUP'!$Q$3:$Q$4</definedName>
    <definedName name="RANGE_LOOKUP_PROGRAMTYPE">'$DB.LOOKUP'!$T$3:$T$5</definedName>
    <definedName name="RANGE_LOOKUP_STATE">'$DB.LOOKUP'!$D$3:$D$56</definedName>
    <definedName name="RANGE_LOOKUP_YESNO">'$DB.LOOKUP'!$G$3:$G$4</definedName>
    <definedName name="RANGE_LOOKUP_YESNONA">'$DB.LOOKUP'!$I$3:$I$5</definedName>
    <definedName name="REQUESTED_AMOUNT">'$DB.DATA'!$H$24</definedName>
    <definedName name="SECOND_MORTGAGE_APR">'$DB.DATA'!$H$84</definedName>
    <definedName name="SECOND_MORTGAGE_RATE">'$DB.DATA'!$H$83</definedName>
    <definedName name="SECOND_MTG_FLAG">'$DB.DATA'!$H$80</definedName>
    <definedName name="TARGET_CONFIG_TOP">Configuration!$A$3</definedName>
    <definedName name="TARGET_WISH_1_START">WISH!$I$30</definedName>
    <definedName name="TARGET_WISH_2_START">WISH!#REF!</definedName>
    <definedName name="TARGET_WISH_3_START">WISH!$Q$49</definedName>
    <definedName name="TARGET_WISH_4_START">WISH!$I$62</definedName>
    <definedName name="TARGET_WISH_5_START">WISH!$W$72</definedName>
    <definedName name="TARGET_WISH_6_START">WISH!$W$91</definedName>
    <definedName name="TARGET_WISH_TOP">WISH!$H$5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7" i="4" l="1"/>
  <c r="B97" i="13"/>
  <c r="F96" i="13"/>
  <c r="B96" i="13"/>
  <c r="I25" i="13" l="1"/>
  <c r="B130" i="13"/>
  <c r="C39" i="4" l="1"/>
  <c r="Q39" i="4"/>
  <c r="R39" i="4"/>
  <c r="Q30" i="4"/>
  <c r="R30" i="4"/>
  <c r="Q29" i="4"/>
  <c r="Q31" i="4"/>
  <c r="Q32" i="4"/>
  <c r="Q33" i="4"/>
  <c r="Q34" i="4"/>
  <c r="Q35" i="4"/>
  <c r="Q36" i="4"/>
  <c r="Q37" i="4"/>
  <c r="Q38" i="4"/>
  <c r="Q40" i="4"/>
  <c r="Q41" i="4"/>
  <c r="Q42" i="4"/>
  <c r="Q43" i="4"/>
  <c r="Q44" i="4"/>
  <c r="Q45" i="4"/>
  <c r="Q46" i="4"/>
  <c r="R29" i="4"/>
  <c r="R37" i="4"/>
  <c r="R38" i="4"/>
  <c r="R46" i="4"/>
  <c r="I46" i="13"/>
  <c r="B64" i="13"/>
  <c r="B63" i="13"/>
  <c r="B88" i="13"/>
  <c r="B87" i="13"/>
  <c r="B105" i="13"/>
  <c r="B104" i="13"/>
  <c r="B103" i="13"/>
  <c r="B102" i="13"/>
  <c r="B101" i="13"/>
  <c r="B100" i="13"/>
  <c r="B99" i="13"/>
  <c r="B98" i="13"/>
  <c r="B49" i="13"/>
  <c r="D19" i="3"/>
  <c r="U77" i="4" s="1"/>
  <c r="E96" i="13" s="1"/>
  <c r="B51" i="13"/>
  <c r="B50" i="13"/>
  <c r="B46" i="13"/>
  <c r="H48" i="4"/>
  <c r="Q51" i="4"/>
  <c r="Q52" i="4"/>
  <c r="Q53" i="4"/>
  <c r="R51" i="4"/>
  <c r="R52" i="4"/>
  <c r="R53" i="4"/>
  <c r="D49" i="13" l="1"/>
  <c r="E49" i="13"/>
  <c r="F49" i="13"/>
  <c r="D50" i="13"/>
  <c r="E50" i="13"/>
  <c r="F50" i="13"/>
  <c r="D51" i="13"/>
  <c r="E51" i="13"/>
  <c r="F51" i="13"/>
  <c r="B7" i="13"/>
  <c r="B69" i="13"/>
  <c r="H9" i="4" l="1"/>
  <c r="C30" i="4" s="1"/>
  <c r="B92" i="13"/>
  <c r="B91" i="13"/>
  <c r="B107" i="13"/>
  <c r="B106" i="13"/>
  <c r="H88" i="4"/>
  <c r="H87" i="4"/>
  <c r="H73" i="4"/>
  <c r="H72" i="4"/>
  <c r="N7" i="7"/>
  <c r="C45" i="4" l="1"/>
  <c r="C36" i="4"/>
  <c r="C44" i="4"/>
  <c r="C35" i="4"/>
  <c r="C43" i="4"/>
  <c r="C34" i="4"/>
  <c r="C29" i="4"/>
  <c r="C37" i="4"/>
  <c r="C42" i="4"/>
  <c r="C33" i="4"/>
  <c r="C38" i="4"/>
  <c r="C46" i="4"/>
  <c r="C41" i="4"/>
  <c r="C32" i="4"/>
  <c r="C40" i="4"/>
  <c r="C31" i="4"/>
  <c r="C50" i="4"/>
  <c r="C53" i="4"/>
  <c r="C52" i="4"/>
  <c r="C51" i="4"/>
  <c r="D87" i="13" l="1"/>
  <c r="E87" i="13"/>
  <c r="F87" i="13"/>
  <c r="D88" i="13"/>
  <c r="E88" i="13"/>
  <c r="F88" i="13"/>
  <c r="Q68" i="4"/>
  <c r="R68" i="4"/>
  <c r="Q67" i="4"/>
  <c r="R67" i="4"/>
  <c r="B34" i="13" l="1"/>
  <c r="F25" i="13"/>
  <c r="E25" i="13"/>
  <c r="D25" i="13"/>
  <c r="F24" i="13"/>
  <c r="E24" i="13"/>
  <c r="D24" i="13"/>
  <c r="F23" i="13"/>
  <c r="E23" i="13"/>
  <c r="D23" i="13"/>
  <c r="B25" i="13"/>
  <c r="B24" i="13"/>
  <c r="B23" i="13"/>
  <c r="B26" i="13"/>
  <c r="R16" i="4" l="1"/>
  <c r="Q16" i="4"/>
  <c r="R15" i="4"/>
  <c r="Q15" i="4"/>
  <c r="R14" i="4"/>
  <c r="Q14" i="4"/>
  <c r="B6" i="13" l="1"/>
  <c r="D24" i="3" l="1"/>
  <c r="D23" i="3"/>
  <c r="D22" i="3"/>
  <c r="D21" i="3"/>
  <c r="D20" i="3"/>
  <c r="D18" i="3"/>
  <c r="D17" i="3"/>
  <c r="D16" i="3"/>
  <c r="D4" i="3"/>
  <c r="B15" i="13" l="1"/>
  <c r="B14" i="13"/>
  <c r="I24" i="13" l="1"/>
  <c r="B126" i="13"/>
  <c r="B127" i="13"/>
  <c r="B128" i="13"/>
  <c r="B125" i="13"/>
  <c r="B121" i="13"/>
  <c r="B122" i="13"/>
  <c r="B123" i="13"/>
  <c r="B120" i="13"/>
  <c r="B119" i="13"/>
  <c r="B94" i="13"/>
  <c r="B95" i="13"/>
  <c r="B93" i="13"/>
  <c r="B90" i="13"/>
  <c r="B89" i="13"/>
  <c r="B86" i="13" l="1"/>
  <c r="B85" i="13"/>
  <c r="B84" i="13"/>
  <c r="B83" i="13"/>
  <c r="B82" i="13"/>
  <c r="B33" i="13"/>
  <c r="V49" i="4"/>
  <c r="B48" i="13"/>
  <c r="B45" i="13"/>
  <c r="B68" i="13" l="1"/>
  <c r="B70" i="13"/>
  <c r="B67" i="13"/>
  <c r="B66" i="13"/>
  <c r="B65" i="13"/>
  <c r="B30" i="13" l="1"/>
  <c r="B31" i="13"/>
  <c r="B29" i="13"/>
  <c r="B28" i="13"/>
  <c r="B27" i="13"/>
  <c r="B21" i="13"/>
  <c r="B20" i="13"/>
  <c r="B19" i="13"/>
  <c r="F22" i="13"/>
  <c r="E22" i="13"/>
  <c r="D22" i="13"/>
  <c r="Q13" i="4"/>
  <c r="F129" i="13"/>
  <c r="E129" i="13"/>
  <c r="D129" i="13"/>
  <c r="F128" i="13"/>
  <c r="E128" i="13"/>
  <c r="D128" i="13"/>
  <c r="F127" i="13"/>
  <c r="E127" i="13"/>
  <c r="D127" i="13"/>
  <c r="F126" i="13"/>
  <c r="E126" i="13"/>
  <c r="D126" i="13"/>
  <c r="F125" i="13"/>
  <c r="E125" i="13"/>
  <c r="D125" i="13"/>
  <c r="F124" i="13"/>
  <c r="E124" i="13"/>
  <c r="D124" i="13"/>
  <c r="F123" i="13"/>
  <c r="E123" i="13"/>
  <c r="D123" i="13"/>
  <c r="F122" i="13"/>
  <c r="E122" i="13"/>
  <c r="D122" i="13"/>
  <c r="F121" i="13"/>
  <c r="E121" i="13"/>
  <c r="D121" i="13"/>
  <c r="F120" i="13"/>
  <c r="E120" i="13"/>
  <c r="D120" i="13"/>
  <c r="F107" i="13"/>
  <c r="E107" i="13"/>
  <c r="D107" i="13"/>
  <c r="F106" i="13"/>
  <c r="E106" i="13"/>
  <c r="D106" i="13"/>
  <c r="F105" i="13"/>
  <c r="E105" i="13"/>
  <c r="F104" i="13"/>
  <c r="E104" i="13"/>
  <c r="D104" i="13"/>
  <c r="F103" i="13"/>
  <c r="E103" i="13"/>
  <c r="D103" i="13"/>
  <c r="F102" i="13"/>
  <c r="E102" i="13"/>
  <c r="F101" i="13"/>
  <c r="E101" i="13"/>
  <c r="D101" i="13"/>
  <c r="F100" i="13"/>
  <c r="E100" i="13"/>
  <c r="D100" i="13"/>
  <c r="F99" i="13"/>
  <c r="E99" i="13"/>
  <c r="D99" i="13"/>
  <c r="F98" i="13"/>
  <c r="E98" i="13"/>
  <c r="D98" i="13"/>
  <c r="E97" i="13"/>
  <c r="F95" i="13"/>
  <c r="E95" i="13"/>
  <c r="D95" i="13"/>
  <c r="F94" i="13"/>
  <c r="E94" i="13"/>
  <c r="D94" i="13"/>
  <c r="F93" i="13"/>
  <c r="E93" i="13"/>
  <c r="F92" i="13"/>
  <c r="E92" i="13"/>
  <c r="D92" i="13"/>
  <c r="F91" i="13"/>
  <c r="E91" i="13"/>
  <c r="D91" i="13"/>
  <c r="F90" i="13"/>
  <c r="E90" i="13"/>
  <c r="D90" i="13"/>
  <c r="F89" i="13"/>
  <c r="E89" i="13"/>
  <c r="D89" i="13"/>
  <c r="F86" i="13"/>
  <c r="E86" i="13"/>
  <c r="D86" i="13"/>
  <c r="F85" i="13"/>
  <c r="E85" i="13"/>
  <c r="D85" i="13"/>
  <c r="F84" i="13"/>
  <c r="E84" i="13"/>
  <c r="D84" i="13"/>
  <c r="F83" i="13"/>
  <c r="E83" i="13"/>
  <c r="D83" i="13"/>
  <c r="D31" i="13"/>
  <c r="E31" i="13"/>
  <c r="F31" i="13"/>
  <c r="E32" i="13"/>
  <c r="F32" i="13"/>
  <c r="E33" i="13"/>
  <c r="Q97" i="4" l="1"/>
  <c r="Q98" i="4"/>
  <c r="Q99" i="4"/>
  <c r="R97" i="4"/>
  <c r="R98" i="4"/>
  <c r="R99" i="4"/>
  <c r="Q17" i="4"/>
  <c r="Q18" i="4"/>
  <c r="Q19" i="4"/>
  <c r="R17" i="4"/>
  <c r="R18" i="4"/>
  <c r="R19" i="4"/>
  <c r="V78" i="4"/>
  <c r="Q69" i="4"/>
  <c r="Q70" i="4"/>
  <c r="Q71" i="4"/>
  <c r="Q72" i="4"/>
  <c r="Q73" i="4"/>
  <c r="Q74" i="4"/>
  <c r="Q75" i="4"/>
  <c r="Q76" i="4"/>
  <c r="Q77" i="4"/>
  <c r="Q78" i="4"/>
  <c r="Q79" i="4"/>
  <c r="Q80" i="4"/>
  <c r="Q81" i="4"/>
  <c r="Q82" i="4"/>
  <c r="Q83" i="4"/>
  <c r="Q84" i="4"/>
  <c r="Q85" i="4"/>
  <c r="Q86" i="4"/>
  <c r="Q87" i="4"/>
  <c r="Q88" i="4"/>
  <c r="Q89" i="4"/>
  <c r="Q90" i="4"/>
  <c r="Q91" i="4"/>
  <c r="Q92" i="4"/>
  <c r="Q93" i="4"/>
  <c r="Q94" i="4"/>
  <c r="Q95" i="4"/>
  <c r="R69" i="4"/>
  <c r="R70" i="4"/>
  <c r="R71" i="4"/>
  <c r="R73" i="4"/>
  <c r="R74" i="4"/>
  <c r="R75" i="4"/>
  <c r="R76" i="4"/>
  <c r="R78" i="4"/>
  <c r="R79" i="4"/>
  <c r="R81" i="4"/>
  <c r="R82" i="4"/>
  <c r="R83" i="4"/>
  <c r="R84" i="4"/>
  <c r="R85" i="4"/>
  <c r="R86" i="4"/>
  <c r="R88" i="4"/>
  <c r="R90" i="4"/>
  <c r="R91" i="4"/>
  <c r="R92" i="4"/>
  <c r="R93" i="4"/>
  <c r="R94" i="4"/>
  <c r="R95" i="4"/>
  <c r="Q55" i="4"/>
  <c r="Q56" i="4"/>
  <c r="Q57" i="4"/>
  <c r="Q58" i="4"/>
  <c r="Q59" i="4"/>
  <c r="Q60" i="4"/>
  <c r="Q61" i="4"/>
  <c r="Q62" i="4"/>
  <c r="Q63" i="4"/>
  <c r="Q64" i="4"/>
  <c r="Q65" i="4"/>
  <c r="Q66" i="4"/>
  <c r="Q96" i="4"/>
  <c r="R56" i="4"/>
  <c r="R57" i="4"/>
  <c r="R58" i="4"/>
  <c r="R59" i="4"/>
  <c r="R60" i="4"/>
  <c r="R61" i="4"/>
  <c r="R63" i="4"/>
  <c r="R64" i="4"/>
  <c r="R65" i="4"/>
  <c r="R66" i="4"/>
  <c r="R96" i="4"/>
  <c r="F97" i="13" l="1"/>
  <c r="Q10" i="4"/>
  <c r="Q11" i="4"/>
  <c r="Q12" i="4"/>
  <c r="Q20" i="4"/>
  <c r="Q21" i="4"/>
  <c r="Q22" i="4"/>
  <c r="Q23" i="4"/>
  <c r="Q24" i="4"/>
  <c r="Q25" i="4"/>
  <c r="Q26" i="4"/>
  <c r="Q27" i="4"/>
  <c r="Q28" i="4"/>
  <c r="Q47" i="4"/>
  <c r="Q48" i="4"/>
  <c r="Q49" i="4"/>
  <c r="Q50" i="4"/>
  <c r="Q54" i="4"/>
  <c r="R10" i="4"/>
  <c r="R11" i="4"/>
  <c r="R12" i="4"/>
  <c r="R20" i="4"/>
  <c r="R21" i="4"/>
  <c r="R22" i="4"/>
  <c r="R23" i="4"/>
  <c r="R24" i="4"/>
  <c r="R25" i="4"/>
  <c r="R26" i="4"/>
  <c r="R27" i="4"/>
  <c r="R28" i="4"/>
  <c r="R47" i="4"/>
  <c r="R48" i="4"/>
  <c r="R49" i="4"/>
  <c r="R50" i="4"/>
  <c r="F30" i="13" l="1"/>
  <c r="E30" i="13"/>
  <c r="D30" i="13"/>
  <c r="G118" i="13" l="1"/>
  <c r="G81" i="13"/>
  <c r="G62" i="13"/>
  <c r="G44" i="13"/>
  <c r="G18" i="13"/>
  <c r="E82" i="13"/>
  <c r="I23" i="13" l="1"/>
  <c r="B16" i="13"/>
  <c r="V25" i="13" s="1"/>
  <c r="B52" i="13"/>
  <c r="B71" i="13"/>
  <c r="B108" i="13"/>
  <c r="Q23" i="13" l="1"/>
  <c r="Q24" i="13"/>
  <c r="H3" i="4"/>
  <c r="I67" i="13" l="1"/>
  <c r="B43" i="13"/>
  <c r="N23" i="13" s="1"/>
  <c r="B139" i="13" l="1"/>
  <c r="B117" i="13"/>
  <c r="B80" i="13"/>
  <c r="N25" i="13" s="1"/>
  <c r="B61" i="13"/>
  <c r="N24" i="13" s="1"/>
  <c r="F82" i="13" l="1"/>
  <c r="I59" i="13"/>
  <c r="I88" i="13"/>
  <c r="I27" i="13"/>
  <c r="F119" i="13"/>
  <c r="E119" i="13"/>
  <c r="F70" i="13"/>
  <c r="E70" i="13"/>
  <c r="F69" i="13"/>
  <c r="E69" i="13"/>
  <c r="F68" i="13"/>
  <c r="E68" i="13"/>
  <c r="F67" i="13"/>
  <c r="E67" i="13"/>
  <c r="F66" i="13"/>
  <c r="E66" i="13"/>
  <c r="F65" i="13"/>
  <c r="E65" i="13"/>
  <c r="F64" i="13"/>
  <c r="E64" i="13"/>
  <c r="F63" i="13"/>
  <c r="E63" i="13"/>
  <c r="E46" i="13"/>
  <c r="F46" i="13"/>
  <c r="E47" i="13"/>
  <c r="F47" i="13"/>
  <c r="E48" i="13"/>
  <c r="F48" i="13"/>
  <c r="W8" i="4"/>
  <c r="L8" i="4" s="1"/>
  <c r="Q8" i="4"/>
  <c r="Q4" i="4" l="1"/>
  <c r="Q5" i="4"/>
  <c r="Q6" i="4"/>
  <c r="Q7" i="4"/>
  <c r="F45" i="13"/>
  <c r="F20" i="13"/>
  <c r="F21" i="13"/>
  <c r="F26" i="13"/>
  <c r="F27" i="13"/>
  <c r="F28" i="13"/>
  <c r="F29" i="13"/>
  <c r="F19" i="13"/>
  <c r="E45" i="13"/>
  <c r="E29" i="13"/>
  <c r="E28" i="13"/>
  <c r="E27" i="13"/>
  <c r="E26" i="13"/>
  <c r="E21" i="13"/>
  <c r="E20" i="13"/>
  <c r="E19" i="13"/>
  <c r="R9" i="4" l="1"/>
  <c r="R19" i="13"/>
  <c r="N19" i="13"/>
  <c r="J19" i="13"/>
  <c r="T3" i="4" l="1"/>
  <c r="W3" i="4" s="1"/>
  <c r="L3" i="4" s="1"/>
  <c r="J3" i="4"/>
  <c r="D66" i="13" l="1"/>
  <c r="D67" i="13"/>
  <c r="D48" i="13"/>
  <c r="D63" i="13"/>
  <c r="D65" i="13"/>
  <c r="D68" i="13"/>
  <c r="D46" i="13"/>
  <c r="D64" i="13"/>
  <c r="M3" i="4"/>
  <c r="D28" i="13" l="1"/>
  <c r="D20" i="13"/>
  <c r="D27" i="13"/>
  <c r="D19" i="13"/>
  <c r="D26" i="13"/>
  <c r="D21" i="13"/>
  <c r="D29" i="13"/>
  <c r="D45" i="13"/>
  <c r="D69" i="13"/>
  <c r="W4" i="4" l="1"/>
  <c r="L4" i="4" s="1"/>
  <c r="W5" i="4"/>
  <c r="L5" i="4" s="1"/>
  <c r="W6" i="4"/>
  <c r="L6" i="4" s="1"/>
  <c r="W7" i="4"/>
  <c r="L7" i="4" s="1"/>
  <c r="D119" i="13" l="1"/>
  <c r="N5" i="4" l="1"/>
  <c r="Y5" i="4" l="1"/>
  <c r="O5" i="4"/>
  <c r="P5" i="4"/>
  <c r="N7" i="4"/>
  <c r="Y7" i="4" l="1"/>
  <c r="O7" i="4"/>
  <c r="P7" i="4"/>
  <c r="N6" i="4"/>
  <c r="O6" i="4" l="1"/>
  <c r="Y6" i="4"/>
  <c r="P6" i="4"/>
  <c r="N4" i="4"/>
  <c r="O4" i="4" s="1"/>
  <c r="Y4" i="4" l="1"/>
  <c r="P4" i="4"/>
  <c r="N8" i="4"/>
  <c r="P8" i="4" l="1"/>
  <c r="O8" i="4"/>
  <c r="Y8" i="4"/>
  <c r="N3" i="4"/>
  <c r="P3" i="4" l="1"/>
  <c r="O3" i="4"/>
  <c r="Y3" i="4"/>
  <c r="C65" i="4" l="1"/>
  <c r="C69" i="4"/>
  <c r="C66" i="4"/>
  <c r="C68" i="4"/>
  <c r="C67" i="4"/>
  <c r="C16" i="4"/>
  <c r="C15" i="4"/>
  <c r="C14" i="4"/>
  <c r="C99" i="4"/>
  <c r="C91" i="4"/>
  <c r="C83" i="4"/>
  <c r="C75" i="4"/>
  <c r="C57" i="4"/>
  <c r="C98" i="4"/>
  <c r="C90" i="4"/>
  <c r="C82" i="4"/>
  <c r="C74" i="4"/>
  <c r="C64" i="4"/>
  <c r="C56" i="4"/>
  <c r="C97" i="4"/>
  <c r="C89" i="4"/>
  <c r="C81" i="4"/>
  <c r="C73" i="4"/>
  <c r="C63" i="4"/>
  <c r="C55" i="4"/>
  <c r="C96" i="4"/>
  <c r="C88" i="4"/>
  <c r="C80" i="4"/>
  <c r="C72" i="4"/>
  <c r="C62" i="4"/>
  <c r="C54" i="4"/>
  <c r="C95" i="4"/>
  <c r="C87" i="4"/>
  <c r="C79" i="4"/>
  <c r="C71" i="4"/>
  <c r="C61" i="4"/>
  <c r="C94" i="4"/>
  <c r="C86" i="4"/>
  <c r="C78" i="4"/>
  <c r="C70" i="4"/>
  <c r="C60" i="4"/>
  <c r="C93" i="4"/>
  <c r="C85" i="4"/>
  <c r="C77" i="4"/>
  <c r="C59" i="4"/>
  <c r="C92" i="4"/>
  <c r="C84" i="4"/>
  <c r="C76" i="4"/>
  <c r="C58" i="4"/>
  <c r="C10" i="4"/>
  <c r="C13" i="4"/>
  <c r="C19" i="4"/>
  <c r="C18" i="4"/>
  <c r="C17" i="4"/>
  <c r="C49" i="4"/>
  <c r="C48" i="4"/>
  <c r="C47" i="4"/>
  <c r="C28" i="4"/>
  <c r="C25" i="4"/>
  <c r="C26" i="4"/>
  <c r="C27" i="4"/>
  <c r="C11" i="4"/>
  <c r="C12" i="4"/>
  <c r="C20" i="4"/>
  <c r="C21" i="4"/>
  <c r="C23" i="4"/>
  <c r="C22" i="4"/>
  <c r="C24" i="4"/>
  <c r="I9" i="4"/>
  <c r="J9" i="4"/>
  <c r="T9" i="4"/>
  <c r="W9" i="4" s="1"/>
  <c r="H19" i="4"/>
  <c r="H60" i="4"/>
  <c r="H24" i="4"/>
  <c r="H25" i="4"/>
  <c r="H18" i="4"/>
  <c r="H10" i="4"/>
  <c r="H26" i="4"/>
  <c r="H54" i="4"/>
  <c r="H27" i="4"/>
  <c r="H22" i="4"/>
  <c r="H20" i="4"/>
  <c r="H21" i="4"/>
  <c r="H17" i="4"/>
  <c r="H28" i="4" l="1"/>
  <c r="L9" i="4"/>
  <c r="M9" i="4" s="1"/>
  <c r="B2" i="5" s="1"/>
  <c r="H14" i="4"/>
  <c r="H16" i="4"/>
  <c r="H15" i="4"/>
  <c r="T16" i="4" l="1"/>
  <c r="W16" i="4" s="1"/>
  <c r="L16" i="4" s="1"/>
  <c r="J16" i="4"/>
  <c r="T15" i="4"/>
  <c r="W15" i="4" s="1"/>
  <c r="L15" i="4" s="1"/>
  <c r="J15" i="4"/>
  <c r="T14" i="4"/>
  <c r="W14" i="4" s="1"/>
  <c r="L14" i="4" s="1"/>
  <c r="J14" i="4"/>
  <c r="D6" i="3"/>
  <c r="N9" i="4"/>
  <c r="M14" i="4" l="1"/>
  <c r="AS2" i="5" s="1"/>
  <c r="N14" i="4"/>
  <c r="M15" i="4"/>
  <c r="AT2" i="5" s="1"/>
  <c r="N15" i="4"/>
  <c r="M16" i="4"/>
  <c r="AU2" i="5" s="1"/>
  <c r="N16" i="4"/>
  <c r="D7" i="3"/>
  <c r="O9" i="4"/>
  <c r="Y9" i="4"/>
  <c r="P9" i="4"/>
  <c r="H93" i="4"/>
  <c r="H36" i="4"/>
  <c r="H42" i="4"/>
  <c r="H61" i="4"/>
  <c r="H97" i="4"/>
  <c r="H31" i="4"/>
  <c r="H64" i="4"/>
  <c r="H79" i="4"/>
  <c r="H67" i="4"/>
  <c r="H65" i="4"/>
  <c r="H38" i="4"/>
  <c r="H83" i="4"/>
  <c r="H35" i="4"/>
  <c r="H92" i="4"/>
  <c r="H29" i="4"/>
  <c r="H91" i="4"/>
  <c r="H32" i="4"/>
  <c r="H75" i="4"/>
  <c r="H86" i="4"/>
  <c r="H80" i="4"/>
  <c r="H34" i="4"/>
  <c r="H44" i="4"/>
  <c r="H78" i="4"/>
  <c r="H74" i="4"/>
  <c r="H45" i="4"/>
  <c r="H96" i="4"/>
  <c r="H66" i="4"/>
  <c r="H40" i="4"/>
  <c r="H41" i="4"/>
  <c r="H89" i="4"/>
  <c r="H90" i="4"/>
  <c r="H43" i="4"/>
  <c r="H98" i="4"/>
  <c r="H33" i="4"/>
  <c r="H46" i="4" l="1"/>
  <c r="H37" i="4"/>
  <c r="T67" i="4"/>
  <c r="W67" i="4" s="1"/>
  <c r="J67" i="4"/>
  <c r="Y16" i="4"/>
  <c r="P16" i="4"/>
  <c r="O16" i="4"/>
  <c r="O15" i="4"/>
  <c r="Y15" i="4"/>
  <c r="P15" i="4"/>
  <c r="Y14" i="4"/>
  <c r="P14" i="4"/>
  <c r="O14" i="4"/>
  <c r="I61" i="4"/>
  <c r="D70" i="13"/>
  <c r="H76" i="4"/>
  <c r="H11" i="4"/>
  <c r="H59" i="4"/>
  <c r="H47" i="4"/>
  <c r="H82" i="4"/>
  <c r="H50" i="4"/>
  <c r="H55" i="4"/>
  <c r="H63" i="4"/>
  <c r="H70" i="4"/>
  <c r="H53" i="4"/>
  <c r="H68" i="4"/>
  <c r="H62" i="4"/>
  <c r="H56" i="4"/>
  <c r="H12" i="4"/>
  <c r="H57" i="4"/>
  <c r="H71" i="4"/>
  <c r="H84" i="4"/>
  <c r="H51" i="4"/>
  <c r="H85" i="4"/>
  <c r="H58" i="4"/>
  <c r="H77" i="4"/>
  <c r="H52" i="4"/>
  <c r="H49" i="4" l="1"/>
  <c r="B47" i="13" s="1"/>
  <c r="U55" i="13" s="1"/>
  <c r="J40" i="4"/>
  <c r="T40" i="4"/>
  <c r="W40" i="4" s="1"/>
  <c r="L40" i="4" s="1"/>
  <c r="J38" i="4"/>
  <c r="I38" i="4" s="1"/>
  <c r="T38" i="4"/>
  <c r="W38" i="4" s="1"/>
  <c r="J43" i="4"/>
  <c r="T43" i="4"/>
  <c r="W43" i="4" s="1"/>
  <c r="L43" i="4" s="1"/>
  <c r="J44" i="4"/>
  <c r="T44" i="4"/>
  <c r="W44" i="4" s="1"/>
  <c r="L44" i="4" s="1"/>
  <c r="J41" i="4"/>
  <c r="T41" i="4"/>
  <c r="W41" i="4" s="1"/>
  <c r="L41" i="4" s="1"/>
  <c r="J29" i="4"/>
  <c r="H30" i="4" s="1"/>
  <c r="T29" i="4"/>
  <c r="W29" i="4" s="1"/>
  <c r="L29" i="4" s="1"/>
  <c r="J33" i="4"/>
  <c r="T33" i="4"/>
  <c r="W33" i="4" s="1"/>
  <c r="L33" i="4" s="1"/>
  <c r="J42" i="4"/>
  <c r="T42" i="4"/>
  <c r="W42" i="4" s="1"/>
  <c r="L42" i="4" s="1"/>
  <c r="J46" i="4"/>
  <c r="I46" i="4" s="1"/>
  <c r="T46" i="4"/>
  <c r="W46" i="4" s="1"/>
  <c r="J35" i="4"/>
  <c r="T35" i="4"/>
  <c r="W35" i="4" s="1"/>
  <c r="L35" i="4" s="1"/>
  <c r="J32" i="4"/>
  <c r="T32" i="4"/>
  <c r="W32" i="4" s="1"/>
  <c r="L32" i="4" s="1"/>
  <c r="J31" i="4"/>
  <c r="T31" i="4"/>
  <c r="W31" i="4" s="1"/>
  <c r="L31" i="4" s="1"/>
  <c r="T45" i="4"/>
  <c r="W45" i="4" s="1"/>
  <c r="L45" i="4" s="1"/>
  <c r="J45" i="4"/>
  <c r="J37" i="4"/>
  <c r="I37" i="4" s="1"/>
  <c r="T37" i="4"/>
  <c r="W37" i="4" s="1"/>
  <c r="J34" i="4"/>
  <c r="T34" i="4"/>
  <c r="W34" i="4" s="1"/>
  <c r="L34" i="4" s="1"/>
  <c r="J36" i="4"/>
  <c r="T36" i="4"/>
  <c r="W36" i="4" s="1"/>
  <c r="L36" i="4" s="1"/>
  <c r="J52" i="4"/>
  <c r="T52" i="4"/>
  <c r="W52" i="4" s="1"/>
  <c r="L52" i="4" s="1"/>
  <c r="J53" i="4"/>
  <c r="T53" i="4"/>
  <c r="W53" i="4" s="1"/>
  <c r="L53" i="4" s="1"/>
  <c r="J51" i="4"/>
  <c r="T51" i="4"/>
  <c r="W51" i="4" s="1"/>
  <c r="L51" i="4" s="1"/>
  <c r="J68" i="4"/>
  <c r="T68" i="4"/>
  <c r="W68" i="4" s="1"/>
  <c r="C23" i="13"/>
  <c r="G23" i="13" s="1"/>
  <c r="N32" i="13" s="1"/>
  <c r="C24" i="13"/>
  <c r="G24" i="13" s="1"/>
  <c r="R32" i="13" s="1"/>
  <c r="C25" i="13"/>
  <c r="G25" i="13" s="1"/>
  <c r="X32" i="13" s="1"/>
  <c r="H13" i="4"/>
  <c r="F99" i="4"/>
  <c r="F94" i="4"/>
  <c r="F95" i="4"/>
  <c r="F90" i="4"/>
  <c r="J97" i="4"/>
  <c r="T97" i="4"/>
  <c r="W97" i="4" s="1"/>
  <c r="T98" i="4"/>
  <c r="W98" i="4" s="1"/>
  <c r="J98" i="4"/>
  <c r="J17" i="4"/>
  <c r="T17" i="4"/>
  <c r="W17" i="4" s="1"/>
  <c r="L17" i="4" s="1"/>
  <c r="J18" i="4"/>
  <c r="T18" i="4"/>
  <c r="W18" i="4" s="1"/>
  <c r="J19" i="4"/>
  <c r="T19" i="4"/>
  <c r="W19" i="4" s="1"/>
  <c r="J83" i="4"/>
  <c r="T83" i="4"/>
  <c r="W83" i="4" s="1"/>
  <c r="J76" i="4"/>
  <c r="I76" i="4" s="1"/>
  <c r="T76" i="4"/>
  <c r="W76" i="4" s="1"/>
  <c r="J72" i="4"/>
  <c r="T72" i="4"/>
  <c r="W72" i="4" s="1"/>
  <c r="L72" i="4" s="1"/>
  <c r="J91" i="4"/>
  <c r="T91" i="4"/>
  <c r="W91" i="4" s="1"/>
  <c r="J77" i="4"/>
  <c r="T77" i="4"/>
  <c r="W77" i="4" s="1"/>
  <c r="J85" i="4"/>
  <c r="T85" i="4"/>
  <c r="W85" i="4" s="1"/>
  <c r="J93" i="4"/>
  <c r="T93" i="4"/>
  <c r="W93" i="4" s="1"/>
  <c r="J89" i="4"/>
  <c r="T89" i="4"/>
  <c r="W89" i="4" s="1"/>
  <c r="L89" i="4" s="1"/>
  <c r="J71" i="4"/>
  <c r="T71" i="4"/>
  <c r="W71" i="4" s="1"/>
  <c r="L71" i="4" s="1"/>
  <c r="J79" i="4"/>
  <c r="T79" i="4"/>
  <c r="W79" i="4" s="1"/>
  <c r="J87" i="4"/>
  <c r="T87" i="4"/>
  <c r="W87" i="4" s="1"/>
  <c r="J78" i="4"/>
  <c r="T78" i="4"/>
  <c r="W78" i="4" s="1"/>
  <c r="J92" i="4"/>
  <c r="T92" i="4"/>
  <c r="W92" i="4" s="1"/>
  <c r="J90" i="4"/>
  <c r="T90" i="4"/>
  <c r="W90" i="4" s="1"/>
  <c r="J84" i="4"/>
  <c r="T84" i="4"/>
  <c r="W84" i="4" s="1"/>
  <c r="J86" i="4"/>
  <c r="T86" i="4"/>
  <c r="W86" i="4" s="1"/>
  <c r="J88" i="4"/>
  <c r="T88" i="4"/>
  <c r="W88" i="4" s="1"/>
  <c r="J73" i="4"/>
  <c r="T73" i="4"/>
  <c r="W73" i="4" s="1"/>
  <c r="J80" i="4"/>
  <c r="T80" i="4"/>
  <c r="W80" i="4" s="1"/>
  <c r="L80" i="4" s="1"/>
  <c r="J70" i="4"/>
  <c r="T70" i="4"/>
  <c r="W70" i="4" s="1"/>
  <c r="L70" i="4" s="1"/>
  <c r="J74" i="4"/>
  <c r="T74" i="4"/>
  <c r="W74" i="4" s="1"/>
  <c r="J82" i="4"/>
  <c r="T82" i="4"/>
  <c r="W82" i="4" s="1"/>
  <c r="T75" i="4"/>
  <c r="W75" i="4" s="1"/>
  <c r="J75" i="4"/>
  <c r="I75" i="4" s="1"/>
  <c r="I59" i="4"/>
  <c r="J58" i="4"/>
  <c r="T58" i="4"/>
  <c r="W58" i="4" s="1"/>
  <c r="L58" i="4" s="1"/>
  <c r="J64" i="4"/>
  <c r="T64" i="4"/>
  <c r="W64" i="4" s="1"/>
  <c r="L64" i="4" s="1"/>
  <c r="J63" i="4"/>
  <c r="T63" i="4"/>
  <c r="W63" i="4" s="1"/>
  <c r="L63" i="4" s="1"/>
  <c r="J62" i="4"/>
  <c r="T62" i="4"/>
  <c r="W62" i="4" s="1"/>
  <c r="L62" i="4" s="1"/>
  <c r="J56" i="4"/>
  <c r="T56" i="4"/>
  <c r="W56" i="4" s="1"/>
  <c r="L56" i="4" s="1"/>
  <c r="J57" i="4"/>
  <c r="T57" i="4"/>
  <c r="W57" i="4" s="1"/>
  <c r="L57" i="4" s="1"/>
  <c r="T66" i="4"/>
  <c r="W66" i="4" s="1"/>
  <c r="L66" i="4" s="1"/>
  <c r="J66" i="4"/>
  <c r="J96" i="4"/>
  <c r="T96" i="4"/>
  <c r="W96" i="4" s="1"/>
  <c r="J55" i="4"/>
  <c r="T55" i="4"/>
  <c r="W55" i="4" s="1"/>
  <c r="L55" i="4" s="1"/>
  <c r="J65" i="4"/>
  <c r="T65" i="4"/>
  <c r="W65" i="4" s="1"/>
  <c r="L65" i="4" s="1"/>
  <c r="T59" i="4"/>
  <c r="W59" i="4" s="1"/>
  <c r="J59" i="4"/>
  <c r="J60" i="4"/>
  <c r="T60" i="4"/>
  <c r="W60" i="4" s="1"/>
  <c r="L60" i="4" s="1"/>
  <c r="J61" i="4"/>
  <c r="T61" i="4"/>
  <c r="W61" i="4" s="1"/>
  <c r="L61" i="4" s="1"/>
  <c r="I24" i="4"/>
  <c r="T50" i="4"/>
  <c r="W50" i="4" s="1"/>
  <c r="L50" i="4" s="1"/>
  <c r="J50" i="4"/>
  <c r="J21" i="4"/>
  <c r="T21" i="4"/>
  <c r="W21" i="4" s="1"/>
  <c r="J27" i="4"/>
  <c r="T27" i="4"/>
  <c r="W27" i="4" s="1"/>
  <c r="J12" i="4"/>
  <c r="T12" i="4"/>
  <c r="W12" i="4" s="1"/>
  <c r="L12" i="4" s="1"/>
  <c r="J20" i="4"/>
  <c r="T20" i="4"/>
  <c r="W20" i="4" s="1"/>
  <c r="L20" i="4" s="1"/>
  <c r="J54" i="4"/>
  <c r="T54" i="4"/>
  <c r="W54" i="4" s="1"/>
  <c r="L54" i="4" s="1"/>
  <c r="J22" i="4"/>
  <c r="T22" i="4"/>
  <c r="W22" i="4" s="1"/>
  <c r="J47" i="4"/>
  <c r="T47" i="4"/>
  <c r="W47" i="4" s="1"/>
  <c r="L47" i="4" s="1"/>
  <c r="J48" i="4"/>
  <c r="T48" i="4"/>
  <c r="W48" i="4" s="1"/>
  <c r="L48" i="4" s="1"/>
  <c r="J26" i="4"/>
  <c r="T26" i="4"/>
  <c r="W26" i="4" s="1"/>
  <c r="J10" i="4"/>
  <c r="T10" i="4"/>
  <c r="W10" i="4" s="1"/>
  <c r="L10" i="4" s="1"/>
  <c r="J25" i="4"/>
  <c r="T25" i="4"/>
  <c r="W25" i="4" s="1"/>
  <c r="L25" i="4" s="1"/>
  <c r="J11" i="4"/>
  <c r="T11" i="4"/>
  <c r="W11" i="4" s="1"/>
  <c r="L11" i="4" s="1"/>
  <c r="J24" i="4"/>
  <c r="T24" i="4"/>
  <c r="D82" i="13"/>
  <c r="I77" i="4" l="1"/>
  <c r="L77" i="4" s="1"/>
  <c r="M77" i="4" s="1"/>
  <c r="AG2" i="5" s="1"/>
  <c r="H39" i="4"/>
  <c r="J39" i="4" s="1"/>
  <c r="L38" i="4"/>
  <c r="M38" i="4" s="1"/>
  <c r="L46" i="4"/>
  <c r="M46" i="4" s="1"/>
  <c r="BB2" i="5" s="1"/>
  <c r="L37" i="4"/>
  <c r="M37" i="4" s="1"/>
  <c r="AZ2" i="5" s="1"/>
  <c r="J30" i="4"/>
  <c r="T30" i="4"/>
  <c r="W30" i="4" s="1"/>
  <c r="L30" i="4" s="1"/>
  <c r="M34" i="4"/>
  <c r="N34" i="4"/>
  <c r="M32" i="4"/>
  <c r="N32" i="4"/>
  <c r="M33" i="4"/>
  <c r="N33" i="4"/>
  <c r="M43" i="4"/>
  <c r="N43" i="4"/>
  <c r="M31" i="4"/>
  <c r="N31" i="4"/>
  <c r="M42" i="4"/>
  <c r="N42" i="4"/>
  <c r="M35" i="4"/>
  <c r="N35" i="4"/>
  <c r="M29" i="4"/>
  <c r="N29" i="4"/>
  <c r="M44" i="4"/>
  <c r="N44" i="4"/>
  <c r="M45" i="4"/>
  <c r="N45" i="4"/>
  <c r="M36" i="4"/>
  <c r="N36" i="4"/>
  <c r="M41" i="4"/>
  <c r="N41" i="4"/>
  <c r="M40" i="4"/>
  <c r="N40" i="4"/>
  <c r="T49" i="4"/>
  <c r="W49" i="4" s="1"/>
  <c r="J49" i="4"/>
  <c r="I49" i="4" s="1"/>
  <c r="M51" i="4"/>
  <c r="AX2" i="5" s="1"/>
  <c r="N51" i="4"/>
  <c r="M53" i="4"/>
  <c r="AW2" i="5" s="1"/>
  <c r="N53" i="4"/>
  <c r="M52" i="4"/>
  <c r="AV2" i="5" s="1"/>
  <c r="N52" i="4"/>
  <c r="H69" i="4"/>
  <c r="I26" i="4"/>
  <c r="L26" i="4" s="1"/>
  <c r="M26" i="4" s="1"/>
  <c r="I2" i="5" s="1"/>
  <c r="I83" i="4"/>
  <c r="L83" i="4" s="1"/>
  <c r="M83" i="4" s="1"/>
  <c r="AL2" i="5" s="1"/>
  <c r="I86" i="4"/>
  <c r="L86" i="4" s="1"/>
  <c r="M86" i="4" s="1"/>
  <c r="AO2" i="5" s="1"/>
  <c r="I87" i="4"/>
  <c r="L87" i="4" s="1"/>
  <c r="M87" i="4" s="1"/>
  <c r="AP2" i="5" s="1"/>
  <c r="I82" i="4"/>
  <c r="L82" i="4" s="1"/>
  <c r="M82" i="4" s="1"/>
  <c r="AK2" i="5" s="1"/>
  <c r="L75" i="4"/>
  <c r="M75" i="4" s="1"/>
  <c r="I84" i="4"/>
  <c r="L84" i="4" s="1"/>
  <c r="M84" i="4" s="1"/>
  <c r="AM2" i="5" s="1"/>
  <c r="I88" i="4"/>
  <c r="L88" i="4" s="1"/>
  <c r="M88" i="4" s="1"/>
  <c r="I73" i="4"/>
  <c r="L73" i="4" s="1"/>
  <c r="M73" i="4" s="1"/>
  <c r="I85" i="4"/>
  <c r="L85" i="4" s="1"/>
  <c r="M85" i="4" s="1"/>
  <c r="AN2" i="5" s="1"/>
  <c r="H94" i="4"/>
  <c r="I91" i="4"/>
  <c r="F96" i="4" s="1"/>
  <c r="I92" i="4"/>
  <c r="F97" i="4" s="1"/>
  <c r="I93" i="4"/>
  <c r="F98" i="4" s="1"/>
  <c r="I90" i="4"/>
  <c r="L90" i="4" s="1"/>
  <c r="L19" i="4"/>
  <c r="M19" i="4" s="1"/>
  <c r="L18" i="4"/>
  <c r="M18" i="4" s="1"/>
  <c r="M17" i="4"/>
  <c r="N17" i="4"/>
  <c r="I78" i="4"/>
  <c r="L78" i="4" s="1"/>
  <c r="M78" i="4" s="1"/>
  <c r="AH2" i="5" s="1"/>
  <c r="L76" i="4"/>
  <c r="M76" i="4" s="1"/>
  <c r="AF2" i="5" s="1"/>
  <c r="L74" i="4"/>
  <c r="M74" i="4" s="1"/>
  <c r="AE2" i="5" s="1"/>
  <c r="M70" i="4"/>
  <c r="AB2" i="5" s="1"/>
  <c r="N70" i="4"/>
  <c r="M89" i="4"/>
  <c r="N89" i="4"/>
  <c r="M72" i="4"/>
  <c r="AD2" i="5" s="1"/>
  <c r="N72" i="4"/>
  <c r="M80" i="4"/>
  <c r="N80" i="4"/>
  <c r="M71" i="4"/>
  <c r="AC2" i="5" s="1"/>
  <c r="N71" i="4"/>
  <c r="L59" i="4"/>
  <c r="M59" i="4" s="1"/>
  <c r="S2" i="5" s="1"/>
  <c r="M60" i="4"/>
  <c r="T2" i="5" s="1"/>
  <c r="N60" i="4"/>
  <c r="M62" i="4"/>
  <c r="V2" i="5" s="1"/>
  <c r="N62" i="4"/>
  <c r="M66" i="4"/>
  <c r="Z2" i="5" s="1"/>
  <c r="N66" i="4"/>
  <c r="M63" i="4"/>
  <c r="W2" i="5" s="1"/>
  <c r="N63" i="4"/>
  <c r="M65" i="4"/>
  <c r="Y2" i="5" s="1"/>
  <c r="N65" i="4"/>
  <c r="M57" i="4"/>
  <c r="Q2" i="5" s="1"/>
  <c r="N57" i="4"/>
  <c r="M64" i="4"/>
  <c r="X2" i="5" s="1"/>
  <c r="N64" i="4"/>
  <c r="M61" i="4"/>
  <c r="U2" i="5" s="1"/>
  <c r="N61" i="4"/>
  <c r="M55" i="4"/>
  <c r="O2" i="5" s="1"/>
  <c r="N55" i="4"/>
  <c r="M56" i="4"/>
  <c r="P2" i="5" s="1"/>
  <c r="N56" i="4"/>
  <c r="M58" i="4"/>
  <c r="R2" i="5" s="1"/>
  <c r="N58" i="4"/>
  <c r="T28" i="4"/>
  <c r="W28" i="4" s="1"/>
  <c r="J28" i="4"/>
  <c r="M11" i="4"/>
  <c r="D2" i="5" s="1"/>
  <c r="N11" i="4"/>
  <c r="M48" i="4"/>
  <c r="L2" i="5" s="1"/>
  <c r="N48" i="4"/>
  <c r="M54" i="4"/>
  <c r="N2" i="5" s="1"/>
  <c r="N54" i="4"/>
  <c r="M25" i="4"/>
  <c r="H2" i="5" s="1"/>
  <c r="N25" i="4"/>
  <c r="M47" i="4"/>
  <c r="K2" i="5" s="1"/>
  <c r="N47" i="4"/>
  <c r="M20" i="4"/>
  <c r="N20" i="4"/>
  <c r="M50" i="4"/>
  <c r="M2" i="5" s="1"/>
  <c r="N50" i="4"/>
  <c r="M10" i="4"/>
  <c r="C2" i="5" s="1"/>
  <c r="N10" i="4"/>
  <c r="M12" i="4"/>
  <c r="E2" i="5" s="1"/>
  <c r="N12" i="4"/>
  <c r="N77" i="4" l="1"/>
  <c r="Y77" i="4" s="1"/>
  <c r="C96" i="13" s="1"/>
  <c r="N46" i="4"/>
  <c r="N38" i="4"/>
  <c r="P38" i="4" s="1"/>
  <c r="T39" i="4"/>
  <c r="W39" i="4" s="1"/>
  <c r="L39" i="4" s="1"/>
  <c r="M39" i="4" s="1"/>
  <c r="BA2" i="5" s="1"/>
  <c r="N37" i="4"/>
  <c r="Z37" i="4" s="1"/>
  <c r="M30" i="4"/>
  <c r="AY2" i="5" s="1"/>
  <c r="N30" i="4"/>
  <c r="O40" i="4"/>
  <c r="P40" i="4"/>
  <c r="Y40" i="4"/>
  <c r="Y45" i="4"/>
  <c r="O45" i="4"/>
  <c r="P45" i="4"/>
  <c r="O35" i="4"/>
  <c r="P35" i="4"/>
  <c r="Y35" i="4"/>
  <c r="O41" i="4"/>
  <c r="P41" i="4"/>
  <c r="Y41" i="4"/>
  <c r="O33" i="4"/>
  <c r="P33" i="4"/>
  <c r="Y33" i="4"/>
  <c r="O42" i="4"/>
  <c r="P42" i="4"/>
  <c r="Y42" i="4"/>
  <c r="O32" i="4"/>
  <c r="P32" i="4"/>
  <c r="Y32" i="4"/>
  <c r="O43" i="4"/>
  <c r="P43" i="4"/>
  <c r="Y43" i="4"/>
  <c r="Y36" i="4"/>
  <c r="P36" i="4"/>
  <c r="O36" i="4"/>
  <c r="O29" i="4"/>
  <c r="P29" i="4"/>
  <c r="Y29" i="4"/>
  <c r="O31" i="4"/>
  <c r="P31" i="4"/>
  <c r="Y31" i="4"/>
  <c r="O34" i="4"/>
  <c r="P34" i="4"/>
  <c r="Y34" i="4"/>
  <c r="O44" i="4"/>
  <c r="P44" i="4"/>
  <c r="Y44" i="4"/>
  <c r="L49" i="4"/>
  <c r="M49" i="4" s="1"/>
  <c r="Y53" i="4"/>
  <c r="C51" i="13" s="1"/>
  <c r="G51" i="13" s="1"/>
  <c r="X53" i="13" s="1"/>
  <c r="O53" i="4"/>
  <c r="P53" i="4"/>
  <c r="O51" i="4"/>
  <c r="Y51" i="4"/>
  <c r="C49" i="13" s="1"/>
  <c r="G49" i="13" s="1"/>
  <c r="X54" i="13" s="1"/>
  <c r="P51" i="4"/>
  <c r="O52" i="4"/>
  <c r="Y52" i="4"/>
  <c r="C50" i="13" s="1"/>
  <c r="G50" i="13" s="1"/>
  <c r="X49" i="13" s="1"/>
  <c r="P52" i="4"/>
  <c r="J69" i="4"/>
  <c r="I67" i="4"/>
  <c r="L67" i="4" s="1"/>
  <c r="M67" i="4" s="1"/>
  <c r="B124" i="13"/>
  <c r="N87" i="4"/>
  <c r="Y87" i="4" s="1"/>
  <c r="N88" i="4"/>
  <c r="O88" i="4" s="1"/>
  <c r="N84" i="4"/>
  <c r="Y84" i="4" s="1"/>
  <c r="N82" i="4"/>
  <c r="Y82" i="4" s="1"/>
  <c r="N73" i="4"/>
  <c r="P73" i="4" s="1"/>
  <c r="N76" i="4"/>
  <c r="Y76" i="4" s="1"/>
  <c r="N59" i="4"/>
  <c r="O59" i="4" s="1"/>
  <c r="F21" i="4"/>
  <c r="I21" i="4" s="1"/>
  <c r="N85" i="4"/>
  <c r="O85" i="4" s="1"/>
  <c r="N78" i="4"/>
  <c r="D97" i="13" s="1"/>
  <c r="L93" i="4"/>
  <c r="M93" i="4" s="1"/>
  <c r="L92" i="4"/>
  <c r="M92" i="4" s="1"/>
  <c r="L91" i="4"/>
  <c r="J94" i="4"/>
  <c r="I94" i="4" s="1"/>
  <c r="T94" i="4"/>
  <c r="W94" i="4" s="1"/>
  <c r="N90" i="4"/>
  <c r="P90" i="4" s="1"/>
  <c r="M90" i="4"/>
  <c r="N19" i="4"/>
  <c r="Y19" i="4" s="1"/>
  <c r="F22" i="4"/>
  <c r="I22" i="4" s="1"/>
  <c r="N18" i="4"/>
  <c r="Y18" i="4" s="1"/>
  <c r="O17" i="4"/>
  <c r="Y17" i="4"/>
  <c r="P17" i="4"/>
  <c r="N83" i="4"/>
  <c r="Z83" i="4" s="1"/>
  <c r="N86" i="4"/>
  <c r="Z86" i="4" s="1"/>
  <c r="N74" i="4"/>
  <c r="O71" i="4"/>
  <c r="Y71" i="4"/>
  <c r="P71" i="4"/>
  <c r="O70" i="4"/>
  <c r="Y70" i="4"/>
  <c r="P70" i="4"/>
  <c r="P72" i="4"/>
  <c r="O72" i="4"/>
  <c r="Y72" i="4"/>
  <c r="P80" i="4"/>
  <c r="O80" i="4"/>
  <c r="Y80" i="4"/>
  <c r="P89" i="4"/>
  <c r="O89" i="4"/>
  <c r="Y89" i="4"/>
  <c r="O77" i="4"/>
  <c r="P56" i="4"/>
  <c r="O56" i="4"/>
  <c r="Y56" i="4"/>
  <c r="O57" i="4"/>
  <c r="Y57" i="4"/>
  <c r="P57" i="4"/>
  <c r="Y55" i="4"/>
  <c r="P55" i="4"/>
  <c r="O55" i="4"/>
  <c r="O65" i="4"/>
  <c r="Y65" i="4"/>
  <c r="P65" i="4"/>
  <c r="O62" i="4"/>
  <c r="P62" i="4"/>
  <c r="Y62" i="4"/>
  <c r="P61" i="4"/>
  <c r="O61" i="4"/>
  <c r="Y61" i="4"/>
  <c r="P63" i="4"/>
  <c r="Y63" i="4"/>
  <c r="O63" i="4"/>
  <c r="O58" i="4"/>
  <c r="Y58" i="4"/>
  <c r="P58" i="4"/>
  <c r="P64" i="4"/>
  <c r="O64" i="4"/>
  <c r="Y64" i="4"/>
  <c r="P66" i="4"/>
  <c r="O66" i="4"/>
  <c r="Y66" i="4"/>
  <c r="P60" i="4"/>
  <c r="O60" i="4"/>
  <c r="Y60" i="4"/>
  <c r="I28" i="4"/>
  <c r="I27" i="4" s="1"/>
  <c r="L27" i="4" s="1"/>
  <c r="N26" i="4"/>
  <c r="O50" i="4"/>
  <c r="Y50" i="4"/>
  <c r="P50" i="4"/>
  <c r="O47" i="4"/>
  <c r="Y47" i="4"/>
  <c r="P47" i="4"/>
  <c r="O48" i="4"/>
  <c r="Y48" i="4"/>
  <c r="P48" i="4"/>
  <c r="O10" i="4"/>
  <c r="Y10" i="4"/>
  <c r="P10" i="4"/>
  <c r="O25" i="4"/>
  <c r="Y25" i="4"/>
  <c r="P25" i="4"/>
  <c r="P11" i="4"/>
  <c r="O11" i="4"/>
  <c r="Y11" i="4"/>
  <c r="O12" i="4"/>
  <c r="Y12" i="4"/>
  <c r="P12" i="4"/>
  <c r="P20" i="4"/>
  <c r="O20" i="4"/>
  <c r="Y20" i="4"/>
  <c r="Y54" i="4"/>
  <c r="O54" i="4"/>
  <c r="P54" i="4"/>
  <c r="Z77" i="4" l="1"/>
  <c r="D96" i="13" s="1"/>
  <c r="Z74" i="13" s="1"/>
  <c r="P77" i="4"/>
  <c r="Z46" i="4"/>
  <c r="O38" i="4"/>
  <c r="P46" i="4"/>
  <c r="Y46" i="4"/>
  <c r="O46" i="4"/>
  <c r="Y38" i="4"/>
  <c r="N39" i="4"/>
  <c r="P39" i="4" s="1"/>
  <c r="Y37" i="4"/>
  <c r="O37" i="4"/>
  <c r="P37" i="4"/>
  <c r="P30" i="4"/>
  <c r="O30" i="4"/>
  <c r="Y30" i="4"/>
  <c r="N49" i="4"/>
  <c r="Z49" i="4" s="1"/>
  <c r="T69" i="4"/>
  <c r="W69" i="4" s="1"/>
  <c r="L69" i="4" s="1"/>
  <c r="M69" i="4" s="1"/>
  <c r="AA2" i="5" s="1"/>
  <c r="I68" i="4"/>
  <c r="L68" i="4" s="1"/>
  <c r="M68" i="4" s="1"/>
  <c r="N67" i="4"/>
  <c r="P67" i="4" s="1"/>
  <c r="Z26" i="4"/>
  <c r="M27" i="4"/>
  <c r="N27" i="4"/>
  <c r="D105" i="13"/>
  <c r="C83" i="13"/>
  <c r="G83" i="13" s="1"/>
  <c r="P76" i="13" s="1"/>
  <c r="C84" i="13"/>
  <c r="G84" i="13" s="1"/>
  <c r="T76" i="13" s="1"/>
  <c r="C85" i="13"/>
  <c r="G85" i="13" s="1"/>
  <c r="V76" i="13" s="1"/>
  <c r="C65" i="13"/>
  <c r="G65" i="13" s="1"/>
  <c r="R62" i="13" s="1"/>
  <c r="C89" i="13"/>
  <c r="G89" i="13" s="1"/>
  <c r="X73" i="13" s="1"/>
  <c r="C101" i="13"/>
  <c r="G101" i="13" s="1"/>
  <c r="C70" i="13"/>
  <c r="G70" i="13" s="1"/>
  <c r="X64" i="13" s="1"/>
  <c r="C99" i="13"/>
  <c r="G99" i="13" s="1"/>
  <c r="C26" i="13"/>
  <c r="G26" i="13" s="1"/>
  <c r="R35" i="13" s="1"/>
  <c r="C103" i="13"/>
  <c r="G103" i="13" s="1"/>
  <c r="D102" i="13"/>
  <c r="C45" i="13"/>
  <c r="G45" i="13" s="1"/>
  <c r="C69" i="13"/>
  <c r="G69" i="13" s="1"/>
  <c r="N64" i="13" s="1"/>
  <c r="C119" i="13"/>
  <c r="G119" i="13" s="1"/>
  <c r="X91" i="13" s="1"/>
  <c r="C46" i="13"/>
  <c r="G46" i="13" s="1"/>
  <c r="C63" i="13"/>
  <c r="G63" i="13" s="1"/>
  <c r="C21" i="13"/>
  <c r="G21" i="13" s="1"/>
  <c r="C90" i="13"/>
  <c r="G90" i="13" s="1"/>
  <c r="L79" i="13" s="1"/>
  <c r="C27" i="13"/>
  <c r="G27" i="13" s="1"/>
  <c r="R36" i="13" s="1"/>
  <c r="C106" i="13"/>
  <c r="G106" i="13" s="1"/>
  <c r="C29" i="13"/>
  <c r="G29" i="13" s="1"/>
  <c r="X35" i="13" s="1"/>
  <c r="C19" i="13"/>
  <c r="G19" i="13" s="1"/>
  <c r="N30" i="13" s="1"/>
  <c r="C67" i="13"/>
  <c r="G67" i="13" s="1"/>
  <c r="L64" i="13" s="1"/>
  <c r="C82" i="13"/>
  <c r="G82" i="13" s="1"/>
  <c r="X72" i="13" s="1"/>
  <c r="C64" i="13"/>
  <c r="G64" i="13" s="1"/>
  <c r="C91" i="13"/>
  <c r="G91" i="13" s="1"/>
  <c r="C66" i="13"/>
  <c r="G66" i="13" s="1"/>
  <c r="X62" i="13" s="1"/>
  <c r="C20" i="13"/>
  <c r="G20" i="13" s="1"/>
  <c r="R30" i="13" s="1"/>
  <c r="C48" i="13"/>
  <c r="G48" i="13" s="1"/>
  <c r="X51" i="13" s="1"/>
  <c r="D93" i="13"/>
  <c r="Q80" i="13" s="1"/>
  <c r="C28" i="13"/>
  <c r="G28" i="13" s="1"/>
  <c r="R37" i="13" s="1"/>
  <c r="C95" i="13"/>
  <c r="G95" i="13" s="1"/>
  <c r="I79" i="4"/>
  <c r="L79" i="4" s="1"/>
  <c r="M79" i="4" s="1"/>
  <c r="AI2" i="5" s="1"/>
  <c r="N93" i="4"/>
  <c r="O93" i="4" s="1"/>
  <c r="N92" i="4"/>
  <c r="O92" i="4" s="1"/>
  <c r="P84" i="4"/>
  <c r="O82" i="4"/>
  <c r="P82" i="4"/>
  <c r="P87" i="4"/>
  <c r="O87" i="4"/>
  <c r="P88" i="4"/>
  <c r="O84" i="4"/>
  <c r="Y88" i="4"/>
  <c r="O76" i="4"/>
  <c r="Y73" i="4"/>
  <c r="O73" i="4"/>
  <c r="P76" i="4"/>
  <c r="N69" i="4"/>
  <c r="O69" i="4" s="1"/>
  <c r="D33" i="13"/>
  <c r="P59" i="4"/>
  <c r="Y59" i="4"/>
  <c r="L21" i="4"/>
  <c r="Y85" i="4"/>
  <c r="O78" i="4"/>
  <c r="P78" i="4"/>
  <c r="Y78" i="4"/>
  <c r="C86" i="13"/>
  <c r="G86" i="13" s="1"/>
  <c r="X76" i="13" s="1"/>
  <c r="P85" i="4"/>
  <c r="L22" i="4"/>
  <c r="M22" i="4" s="1"/>
  <c r="I96" i="4"/>
  <c r="L96" i="4" s="1"/>
  <c r="M96" i="4" s="1"/>
  <c r="I97" i="4"/>
  <c r="L97" i="4" s="1"/>
  <c r="M97" i="4" s="1"/>
  <c r="I98" i="4"/>
  <c r="L98" i="4" s="1"/>
  <c r="M98" i="4" s="1"/>
  <c r="M91" i="4"/>
  <c r="N91" i="4"/>
  <c r="L94" i="4"/>
  <c r="N94" i="4" s="1"/>
  <c r="O90" i="4"/>
  <c r="Y90" i="4"/>
  <c r="O19" i="4"/>
  <c r="P18" i="4"/>
  <c r="P19" i="4"/>
  <c r="O18" i="4"/>
  <c r="P83" i="4"/>
  <c r="O83" i="4"/>
  <c r="Y83" i="4"/>
  <c r="O86" i="4"/>
  <c r="P86" i="4"/>
  <c r="Y86" i="4"/>
  <c r="Y74" i="4"/>
  <c r="G96" i="13" s="1"/>
  <c r="X74" i="13" s="1"/>
  <c r="O74" i="4"/>
  <c r="P74" i="4"/>
  <c r="Y26" i="4"/>
  <c r="O26" i="4"/>
  <c r="P26" i="4"/>
  <c r="L28" i="4"/>
  <c r="D47" i="13" l="1"/>
  <c r="S56" i="13" s="1"/>
  <c r="P79" i="13"/>
  <c r="O39" i="4"/>
  <c r="Y39" i="4"/>
  <c r="O49" i="4"/>
  <c r="X52" i="13"/>
  <c r="P49" i="4"/>
  <c r="Y49" i="4"/>
  <c r="C47" i="13" s="1"/>
  <c r="G47" i="13" s="1"/>
  <c r="X55" i="13" s="1"/>
  <c r="Y67" i="4"/>
  <c r="O67" i="4"/>
  <c r="N68" i="4"/>
  <c r="Y68" i="4" s="1"/>
  <c r="X30" i="13"/>
  <c r="M28" i="4"/>
  <c r="J2" i="5" s="1"/>
  <c r="N28" i="4"/>
  <c r="O27" i="4"/>
  <c r="P27" i="4"/>
  <c r="Y27" i="4"/>
  <c r="C97" i="13"/>
  <c r="G97" i="13" s="1"/>
  <c r="C104" i="13"/>
  <c r="G104" i="13" s="1"/>
  <c r="C102" i="13"/>
  <c r="G102" i="13" s="1"/>
  <c r="C105" i="13"/>
  <c r="G105" i="13" s="1"/>
  <c r="C107" i="13"/>
  <c r="G107" i="13" s="1"/>
  <c r="C92" i="13"/>
  <c r="G92" i="13" s="1"/>
  <c r="C93" i="13"/>
  <c r="G93" i="13" s="1"/>
  <c r="T79" i="13" s="1"/>
  <c r="C68" i="13"/>
  <c r="N79" i="4"/>
  <c r="O79" i="4" s="1"/>
  <c r="Y92" i="4"/>
  <c r="P92" i="4"/>
  <c r="Y93" i="4"/>
  <c r="P93" i="4"/>
  <c r="P69" i="4"/>
  <c r="Y69" i="4"/>
  <c r="M21" i="4"/>
  <c r="H23" i="4" s="1"/>
  <c r="N21" i="4"/>
  <c r="P21" i="4" s="1"/>
  <c r="C120" i="13"/>
  <c r="G120" i="13" s="1"/>
  <c r="R94" i="13" s="1"/>
  <c r="N22" i="4"/>
  <c r="N98" i="4"/>
  <c r="N97" i="4"/>
  <c r="N96" i="4"/>
  <c r="P91" i="4"/>
  <c r="O91" i="4"/>
  <c r="Y91" i="4"/>
  <c r="M94" i="4"/>
  <c r="AQ2" i="5" s="1"/>
  <c r="O94" i="4"/>
  <c r="Y94" i="4"/>
  <c r="P94" i="4"/>
  <c r="B73" i="13"/>
  <c r="B54" i="13"/>
  <c r="B74" i="13"/>
  <c r="B53" i="13"/>
  <c r="B72" i="13"/>
  <c r="B55" i="13"/>
  <c r="X82" i="13" l="1"/>
  <c r="C88" i="13"/>
  <c r="G88" i="13" s="1"/>
  <c r="C87" i="13"/>
  <c r="G87" i="13" s="1"/>
  <c r="O68" i="4"/>
  <c r="P68" i="4"/>
  <c r="P28" i="4"/>
  <c r="O28" i="4"/>
  <c r="Y28" i="4"/>
  <c r="B75" i="13"/>
  <c r="B77" i="13" s="1"/>
  <c r="P25" i="13" s="1"/>
  <c r="B56" i="13"/>
  <c r="B58" i="13" s="1"/>
  <c r="C123" i="13"/>
  <c r="G123" i="13" s="1"/>
  <c r="R97" i="13" s="1"/>
  <c r="G68" i="13"/>
  <c r="R64" i="13" s="1"/>
  <c r="C122" i="13"/>
  <c r="G122" i="13" s="1"/>
  <c r="R96" i="13" s="1"/>
  <c r="C121" i="13"/>
  <c r="G121" i="13" s="1"/>
  <c r="R95" i="13" s="1"/>
  <c r="P79" i="4"/>
  <c r="Y79" i="4"/>
  <c r="B32" i="13"/>
  <c r="S38" i="13" s="1"/>
  <c r="J23" i="4"/>
  <c r="T23" i="4"/>
  <c r="W23" i="4" s="1"/>
  <c r="O21" i="4"/>
  <c r="Y21" i="4"/>
  <c r="C124" i="13"/>
  <c r="P22" i="4"/>
  <c r="O22" i="4"/>
  <c r="Y22" i="4"/>
  <c r="P96" i="4"/>
  <c r="O96" i="4"/>
  <c r="Y96" i="4"/>
  <c r="O97" i="4"/>
  <c r="P97" i="4"/>
  <c r="Y97" i="4"/>
  <c r="P98" i="4"/>
  <c r="O98" i="4"/>
  <c r="Y98" i="4"/>
  <c r="P24" i="13" l="1"/>
  <c r="B76" i="13"/>
  <c r="O25" i="13" s="1"/>
  <c r="C127" i="13"/>
  <c r="G127" i="13" s="1"/>
  <c r="X96" i="13" s="1"/>
  <c r="B57" i="13"/>
  <c r="O24" i="13" s="1"/>
  <c r="C98" i="13"/>
  <c r="G98" i="13" s="1"/>
  <c r="C30" i="13"/>
  <c r="G30" i="13" s="1"/>
  <c r="X36" i="13" s="1"/>
  <c r="C126" i="13"/>
  <c r="G126" i="13" s="1"/>
  <c r="X95" i="13" s="1"/>
  <c r="C31" i="13"/>
  <c r="G31" i="13" s="1"/>
  <c r="X37" i="13" s="1"/>
  <c r="C128" i="13"/>
  <c r="G128" i="13" s="1"/>
  <c r="X97" i="13" s="1"/>
  <c r="L23" i="4"/>
  <c r="M23" i="4" s="1"/>
  <c r="F2" i="5" s="1"/>
  <c r="G124" i="13"/>
  <c r="V24" i="13"/>
  <c r="V23" i="13"/>
  <c r="X46" i="13" l="1"/>
  <c r="X59" i="13"/>
  <c r="N23" i="4"/>
  <c r="Z23" i="4" s="1"/>
  <c r="Y23" i="4" l="1"/>
  <c r="C32" i="13" s="1"/>
  <c r="D32" i="13"/>
  <c r="S39" i="13" s="1"/>
  <c r="O23" i="4"/>
  <c r="P23" i="4"/>
  <c r="G32" i="13" l="1"/>
  <c r="X38" i="13" s="1"/>
  <c r="N75" i="4" l="1"/>
  <c r="O75" i="4" s="1"/>
  <c r="Y75" i="4" l="1"/>
  <c r="P75" i="4"/>
  <c r="H81" i="4"/>
  <c r="C94" i="13" l="1"/>
  <c r="G94" i="13" s="1"/>
  <c r="T81" i="4"/>
  <c r="W81" i="4" s="1"/>
  <c r="J81" i="4"/>
  <c r="X79" i="13" l="1"/>
  <c r="I81" i="4"/>
  <c r="L81" i="4" s="1"/>
  <c r="M81" i="4" s="1"/>
  <c r="AJ2" i="5" s="1"/>
  <c r="N81" i="4" l="1"/>
  <c r="O81" i="4" s="1"/>
  <c r="P81" i="4" l="1"/>
  <c r="Y81" i="4"/>
  <c r="C100" i="13" l="1"/>
  <c r="G100" i="13" s="1"/>
  <c r="B111" i="13"/>
  <c r="B110" i="13"/>
  <c r="B109" i="13"/>
  <c r="H95" i="4"/>
  <c r="B112" i="13" l="1"/>
  <c r="B113" i="13" s="1"/>
  <c r="X67" i="13" s="1"/>
  <c r="T95" i="4"/>
  <c r="W95" i="4" s="1"/>
  <c r="J95" i="4"/>
  <c r="W23" i="13" l="1"/>
  <c r="B114" i="13"/>
  <c r="X23" i="13" s="1"/>
  <c r="I95" i="4"/>
  <c r="L95" i="4" s="1"/>
  <c r="M95" i="4" s="1"/>
  <c r="H99" i="4" s="1"/>
  <c r="B129" i="13" l="1"/>
  <c r="J99" i="4"/>
  <c r="I99" i="4" s="1"/>
  <c r="T99" i="4"/>
  <c r="W99" i="4" s="1"/>
  <c r="N95" i="4"/>
  <c r="P95" i="4" s="1"/>
  <c r="L99" i="4" l="1"/>
  <c r="M99" i="4" s="1"/>
  <c r="AR2" i="5" s="1"/>
  <c r="Y95" i="4"/>
  <c r="O95" i="4"/>
  <c r="C125" i="13" l="1"/>
  <c r="G125" i="13" s="1"/>
  <c r="X94" i="13" s="1"/>
  <c r="N99" i="4"/>
  <c r="O99" i="4" s="1"/>
  <c r="Y99" i="4" l="1"/>
  <c r="P99" i="4"/>
  <c r="W13" i="4"/>
  <c r="L13" i="4" s="1"/>
  <c r="T13" i="4"/>
  <c r="J13" i="4"/>
  <c r="B22" i="13"/>
  <c r="C129" i="13" l="1"/>
  <c r="N13" i="4"/>
  <c r="Y13" i="4" s="1"/>
  <c r="M13" i="4"/>
  <c r="B132" i="13"/>
  <c r="B133" i="13"/>
  <c r="B131" i="13"/>
  <c r="B134" i="13" l="1"/>
  <c r="B135" i="13" s="1"/>
  <c r="B8" i="13"/>
  <c r="C22" i="13"/>
  <c r="G129" i="13"/>
  <c r="P13" i="4"/>
  <c r="O13" i="4"/>
  <c r="I3" i="13" l="1"/>
  <c r="X88" i="13"/>
  <c r="W24" i="13"/>
  <c r="B136" i="13"/>
  <c r="G22" i="13"/>
  <c r="X24" i="13" l="1"/>
  <c r="W24" i="4"/>
  <c r="L24" i="4" s="1"/>
  <c r="M24" i="4" s="1"/>
  <c r="G2" i="5" s="1"/>
  <c r="F33" i="13"/>
  <c r="N24" i="4" l="1"/>
  <c r="P24" i="4" s="1"/>
  <c r="H6" i="4" l="1"/>
  <c r="T6" i="4" s="1"/>
  <c r="Y24" i="4"/>
  <c r="H5" i="4" s="1"/>
  <c r="O24" i="4"/>
  <c r="J6" i="4" l="1"/>
  <c r="M6" i="4" s="1"/>
  <c r="H4" i="4"/>
  <c r="J4" i="4" s="1"/>
  <c r="M4" i="4" s="1"/>
  <c r="C33" i="13"/>
  <c r="G33" i="13" s="1"/>
  <c r="X41" i="13" s="1"/>
  <c r="T5" i="4"/>
  <c r="J5" i="4"/>
  <c r="M5" i="4" s="1"/>
  <c r="B35" i="13"/>
  <c r="B37" i="13"/>
  <c r="B36" i="13"/>
  <c r="B9" i="13" l="1"/>
  <c r="T4" i="4"/>
  <c r="H7" i="4"/>
  <c r="H8" i="4" s="1"/>
  <c r="B13" i="13"/>
  <c r="B38" i="13"/>
  <c r="B40" i="13" s="1"/>
  <c r="P23" i="13" s="1"/>
  <c r="B10" i="13" l="1"/>
  <c r="B12" i="13" s="1"/>
  <c r="I6" i="13" s="1"/>
  <c r="T7" i="4"/>
  <c r="J7" i="4"/>
  <c r="M7" i="4" s="1"/>
  <c r="S3" i="13" s="1"/>
  <c r="T3" i="13" s="1"/>
  <c r="B39" i="13"/>
  <c r="X27" i="13" s="1"/>
  <c r="T8" i="4"/>
  <c r="J8" i="4"/>
  <c r="M8" i="4" s="1"/>
  <c r="A2" i="5" s="1"/>
  <c r="B11" i="13" l="1"/>
  <c r="H6" i="13" s="1"/>
  <c r="O2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X1" authorId="0" shapeId="0" xr:uid="{00000000-0006-0000-0400-000001000000}">
      <text>
        <r>
          <rPr>
            <b/>
            <sz val="9"/>
            <color indexed="81"/>
            <rFont val="Tahoma"/>
            <family val="2"/>
          </rPr>
          <t>Tip:</t>
        </r>
        <r>
          <rPr>
            <sz val="9"/>
            <color indexed="81"/>
            <rFont val="Tahoma"/>
            <family val="2"/>
          </rPr>
          <t xml:space="preserve"> Most fields are flagged as '1' so that all status codes are utilized in %age complete calc.  However, some are ignored (such as </t>
        </r>
        <r>
          <rPr>
            <sz val="9"/>
            <color indexed="81"/>
            <rFont val="Tahoma"/>
            <family val="2"/>
          </rPr>
          <t xml:space="preserve">
PROJ_ID and APP_COMPLETE_FLAG since they are behind-the-scenes calcualtions that don't impact the progress of the app and thus we don't want any status indicators to be utilized in the %age complete. Others, such as Unit Group Totals are marked as '2', which means if an error exists (units exceed total ahp units, which is a stopping error), that error code of zero (0) will flow through and thus never allow the user to hit 100% complete (until the errors are cleared up)</t>
        </r>
      </text>
    </comment>
    <comment ref="H9" authorId="0" shapeId="0" xr:uid="{72C3612C-A98D-463E-8785-2AE75177F016}">
      <text>
        <r>
          <rPr>
            <b/>
            <sz val="9"/>
            <color indexed="81"/>
            <rFont val="Tahoma"/>
            <family val="2"/>
          </rPr>
          <t>DEC 2021:</t>
        </r>
        <r>
          <rPr>
            <sz val="9"/>
            <color indexed="81"/>
            <rFont val="Tahoma"/>
            <family val="2"/>
          </rPr>
          <t xml:space="preserve"> IDEA form has been removed, value will </t>
        </r>
        <r>
          <rPr>
            <b/>
            <sz val="9"/>
            <color indexed="81"/>
            <rFont val="Tahoma"/>
            <family val="2"/>
          </rPr>
          <t>ALWAYS</t>
        </r>
        <r>
          <rPr>
            <sz val="9"/>
            <color indexed="81"/>
            <rFont val="Tahoma"/>
            <family val="2"/>
          </rPr>
          <t xml:space="preserve"> reflect WISH (W) going forward</t>
        </r>
      </text>
    </comment>
    <comment ref="V61" authorId="0" shapeId="0" xr:uid="{00000000-0006-0000-0400-000002000000}">
      <text>
        <r>
          <rPr>
            <b/>
            <sz val="9"/>
            <color indexed="81"/>
            <rFont val="Tahoma"/>
            <family val="2"/>
          </rPr>
          <t>Author:</t>
        </r>
        <r>
          <rPr>
            <sz val="9"/>
            <color indexed="81"/>
            <rFont val="Tahoma"/>
            <family val="2"/>
          </rPr>
          <t xml:space="preserve">
set to 40 to accommodate counties longer than 20 chars in length (see email from 9/14); IRIS will be updated as well</t>
        </r>
      </text>
    </comment>
    <comment ref="V94" authorId="0" shapeId="0" xr:uid="{00000000-0006-0000-0400-000003000000}">
      <text>
        <r>
          <rPr>
            <b/>
            <sz val="9"/>
            <color indexed="81"/>
            <rFont val="Tahoma"/>
            <family val="2"/>
          </rPr>
          <t>Author:</t>
        </r>
        <r>
          <rPr>
            <sz val="9"/>
            <color indexed="81"/>
            <rFont val="Tahoma"/>
            <family val="2"/>
          </rPr>
          <t xml:space="preserve">
Updated to 200 chars, spread evenly across 4 rows, per email w/ Eileen on 9/19/17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 authorId="0" shapeId="0" xr:uid="{00000000-0006-0000-0500-000001000000}">
      <text>
        <r>
          <rPr>
            <b/>
            <sz val="9"/>
            <color indexed="81"/>
            <rFont val="Tahoma"/>
            <family val="2"/>
          </rPr>
          <t>Author:</t>
        </r>
        <r>
          <rPr>
            <sz val="9"/>
            <color indexed="81"/>
            <rFont val="Tahoma"/>
            <family val="2"/>
          </rPr>
          <t xml:space="preserve">
FHLBSF District States on Top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0" authorId="0" shapeId="0" xr:uid="{00000000-0006-0000-0600-000001000000}">
      <text>
        <r>
          <rPr>
            <b/>
            <sz val="9"/>
            <color indexed="81"/>
            <rFont val="Tahoma"/>
            <family val="2"/>
          </rPr>
          <t>Author:</t>
        </r>
        <r>
          <rPr>
            <sz val="9"/>
            <color indexed="81"/>
            <rFont val="Tahoma"/>
            <family val="2"/>
          </rPr>
          <t xml:space="preserve">
Author:
Highlighted items should not have business-editable settings on the configuration UI since these thresholds are going to be hard-coded into error messages on the UI (in order to provide a better UX for Members as they fill out the forms).  Changes to these line items will require associated changes to UI error messages on data validation</t>
        </r>
      </text>
    </comment>
  </commentList>
</comments>
</file>

<file path=xl/sharedStrings.xml><?xml version="1.0" encoding="utf-8"?>
<sst xmlns="http://schemas.openxmlformats.org/spreadsheetml/2006/main" count="7613" uniqueCount="2517">
  <si>
    <t>FIELD_ID</t>
  </si>
  <si>
    <t>FIELD_DESC</t>
  </si>
  <si>
    <t>FIELD_VALUE_RAW</t>
  </si>
  <si>
    <t>FIELD_VALUE_CLEAN</t>
  </si>
  <si>
    <t>FIELD_REQ_FLAG</t>
  </si>
  <si>
    <t>CONFIG_VAR</t>
  </si>
  <si>
    <t>CONFIG_DESC</t>
  </si>
  <si>
    <t>CONFIG_TYPE</t>
  </si>
  <si>
    <t>CONFIG_VALUE</t>
  </si>
  <si>
    <t>Application Type</t>
  </si>
  <si>
    <t>APP_TYPE</t>
  </si>
  <si>
    <t>Text</t>
  </si>
  <si>
    <t>MAP:{$DB.EXPORT}</t>
  </si>
  <si>
    <t>Application Type Code</t>
  </si>
  <si>
    <t>a</t>
  </si>
  <si>
    <t>r</t>
  </si>
  <si>
    <t>Webdings</t>
  </si>
  <si>
    <t>FIELD_STATUS_CODE</t>
  </si>
  <si>
    <t>FIELD_STATUS_DISPLAY</t>
  </si>
  <si>
    <t>FIELD_STATUS_ICON</t>
  </si>
  <si>
    <t>Not Required, Empty</t>
  </si>
  <si>
    <t>Invalid</t>
  </si>
  <si>
    <t>Required, Empty</t>
  </si>
  <si>
    <t>Valid</t>
  </si>
  <si>
    <t>FIELD_STATUS_DESCRIPTION</t>
  </si>
  <si>
    <t>i</t>
  </si>
  <si>
    <t>FIELD_STATUS_ICON_FONT</t>
  </si>
  <si>
    <t>FIELD_STATUS_COMMENT</t>
  </si>
  <si>
    <t>Required</t>
  </si>
  <si>
    <t>Invalid Value</t>
  </si>
  <si>
    <t>OK</t>
  </si>
  <si>
    <t>Optional</t>
  </si>
  <si>
    <t>FIELD_EMPTY_FLAG</t>
  </si>
  <si>
    <t>FIELD_VALID_FLAG</t>
  </si>
  <si>
    <t>APP_TYPE_DESC</t>
  </si>
  <si>
    <t>Application Type Description</t>
  </si>
  <si>
    <t>Date</t>
  </si>
  <si>
    <t>PAGE_BANNER_TITLE</t>
  </si>
  <si>
    <t>LOOKUP_CODE</t>
  </si>
  <si>
    <t>LOOKUP_VALUE</t>
  </si>
  <si>
    <t>SHEET_REF_CALC</t>
  </si>
  <si>
    <t>PAGE_BANNER_PROJNAME</t>
  </si>
  <si>
    <t>Number</t>
  </si>
  <si>
    <t>FIELD_TYPE</t>
  </si>
  <si>
    <t>$DB.CONFIG.TBL_CONFIG_FIELDSTATUSCODES::[F|J]</t>
  </si>
  <si>
    <t>TRIM_TEXT_FLAG</t>
  </si>
  <si>
    <t>RANGE_VALUE_LEN</t>
  </si>
  <si>
    <t>RANGE_VALIDATION_ON_FLAG</t>
  </si>
  <si>
    <t>RANGE_VALIDATION_MIN</t>
  </si>
  <si>
    <t>RANGE_VALIDATION_MAX</t>
  </si>
  <si>
    <t>RANGE_VALIDATION_PASSED_FLAG</t>
  </si>
  <si>
    <t>FIELD_VALID_CUSTOM_LOGIC</t>
  </si>
  <si>
    <t>Custom Logic - Field Specific</t>
  </si>
  <si>
    <t>Custom Logic + Validation</t>
  </si>
  <si>
    <t>City</t>
  </si>
  <si>
    <t>-</t>
  </si>
  <si>
    <t xml:space="preserve"> </t>
  </si>
  <si>
    <t>NY</t>
  </si>
  <si>
    <t>CT</t>
  </si>
  <si>
    <t>WY</t>
  </si>
  <si>
    <t>WI</t>
  </si>
  <si>
    <t>WV</t>
  </si>
  <si>
    <t>WA</t>
  </si>
  <si>
    <t>VA</t>
  </si>
  <si>
    <t>VT</t>
  </si>
  <si>
    <t>UT</t>
  </si>
  <si>
    <t>TX</t>
  </si>
  <si>
    <t>TN</t>
  </si>
  <si>
    <t>SD</t>
  </si>
  <si>
    <t>SC</t>
  </si>
  <si>
    <t>RI</t>
  </si>
  <si>
    <t>PR</t>
  </si>
  <si>
    <t>PA</t>
  </si>
  <si>
    <t>OR</t>
  </si>
  <si>
    <t>OH</t>
  </si>
  <si>
    <t>ND</t>
  </si>
  <si>
    <t>NC</t>
  </si>
  <si>
    <t>NM</t>
  </si>
  <si>
    <t>NJ</t>
  </si>
  <si>
    <t>NH</t>
  </si>
  <si>
    <t>NV</t>
  </si>
  <si>
    <t>NE</t>
  </si>
  <si>
    <t>MT</t>
  </si>
  <si>
    <t>MO</t>
  </si>
  <si>
    <t>MS</t>
  </si>
  <si>
    <t>MN</t>
  </si>
  <si>
    <t>MI</t>
  </si>
  <si>
    <t>MA</t>
  </si>
  <si>
    <t>MD</t>
  </si>
  <si>
    <t>ME</t>
  </si>
  <si>
    <t>LA</t>
  </si>
  <si>
    <t>KY</t>
  </si>
  <si>
    <t>KS</t>
  </si>
  <si>
    <t>IA</t>
  </si>
  <si>
    <t>IN</t>
  </si>
  <si>
    <t>IL</t>
  </si>
  <si>
    <t>ID</t>
  </si>
  <si>
    <t>HI</t>
  </si>
  <si>
    <t>GA</t>
  </si>
  <si>
    <t>FL</t>
  </si>
  <si>
    <t>DE</t>
  </si>
  <si>
    <t>CO</t>
  </si>
  <si>
    <t>CA</t>
  </si>
  <si>
    <t>AR</t>
  </si>
  <si>
    <t>AZ</t>
  </si>
  <si>
    <t>AK</t>
  </si>
  <si>
    <t>AL</t>
  </si>
  <si>
    <t>STATE_CODE</t>
  </si>
  <si>
    <t>$DB.LOOKUP.TBL_LOOKUP_APPTYPE::[A|B]</t>
  </si>
  <si>
    <t>$DB.LOOKUP.RANGE_LOOKUP_STATE::[D|D]</t>
  </si>
  <si>
    <t>RANGE_VALIDATION_FLAG</t>
  </si>
  <si>
    <t>APP_PROGRESS_DONE_COUNT</t>
  </si>
  <si>
    <t>APP_PROGRESS_TOTAL_COUNT</t>
  </si>
  <si>
    <t>APP_PROGRESS_ERROR_COUNT</t>
  </si>
  <si>
    <t>SECTION_1_DONE_COUNT</t>
  </si>
  <si>
    <t>SECTION_1_TOTAL_COUNT</t>
  </si>
  <si>
    <t>SECTION_1_ERROR_COUNT</t>
  </si>
  <si>
    <t>SECTION_1_PROGRESS_PERCENT</t>
  </si>
  <si>
    <t>SECTION_1_STATUS_TEXT</t>
  </si>
  <si>
    <t>SECTION_1_STATUS_CODE</t>
  </si>
  <si>
    <t>SECTION_1_RANGE</t>
  </si>
  <si>
    <t>SECTION_1</t>
  </si>
  <si>
    <t>SECTION_1_TOC_LABEL</t>
  </si>
  <si>
    <t>SECTION_2</t>
  </si>
  <si>
    <t>SECTION_2_RANGE</t>
  </si>
  <si>
    <t>SECTION_2_DONE_COUNT</t>
  </si>
  <si>
    <t>SECTION_2_TOTAL_COUNT</t>
  </si>
  <si>
    <t>SECTION_2_ERROR_COUNT</t>
  </si>
  <si>
    <t>SECTION_2_PROGRESS_PERCENT</t>
  </si>
  <si>
    <t>SECTION_2_STATUS_TEXT</t>
  </si>
  <si>
    <t>SECTION_2_STATUS_CODE</t>
  </si>
  <si>
    <t>SECTION_2_TOC_LABEL</t>
  </si>
  <si>
    <t>May Be Calculated Value</t>
  </si>
  <si>
    <t>Application Unique ID (for Import Purposes)</t>
  </si>
  <si>
    <t>$DB.CONFIG.TBL_CONFIG_APP::[A|D]</t>
  </si>
  <si>
    <t>PROJ_ID</t>
  </si>
  <si>
    <t>APP_COMPLETE_FLAG</t>
  </si>
  <si>
    <t>Appliation Complete Flag</t>
  </si>
  <si>
    <t>FIELD_EXPORT_FLAG</t>
  </si>
  <si>
    <t>EFORM_REVISION_DATE</t>
  </si>
  <si>
    <t>Last eForm Revision Date</t>
  </si>
  <si>
    <t>Application Progress - Error Count</t>
  </si>
  <si>
    <t>Application Progress - % Complete</t>
  </si>
  <si>
    <t>APP_PROGRESS_PCT_COMPLETE</t>
  </si>
  <si>
    <t>Y/N</t>
  </si>
  <si>
    <t>SUBSIDY_MAX_TOTAL</t>
  </si>
  <si>
    <t>Maximum Subsidy Total</t>
  </si>
  <si>
    <t>N/A</t>
  </si>
  <si>
    <t>DEVELOPER_COMMENTS</t>
  </si>
  <si>
    <t>VI</t>
  </si>
  <si>
    <t>Address</t>
  </si>
  <si>
    <t>SECTION_3</t>
  </si>
  <si>
    <t>SECTION_3_RANGE</t>
  </si>
  <si>
    <t>SECTION_3_DONE_COUNT</t>
  </si>
  <si>
    <t>SECTION_3_TOTAL_COUNT</t>
  </si>
  <si>
    <t>SECTION_3_ERROR_COUNT</t>
  </si>
  <si>
    <t>SECTION_3_PROGRESS_PERCENT</t>
  </si>
  <si>
    <t>SECTION_3_STATUS_TEXT</t>
  </si>
  <si>
    <t>SECTION_3_STATUS_CODE</t>
  </si>
  <si>
    <t>SECTION_3_TOC_LABEL</t>
  </si>
  <si>
    <t>PCT_CALC_FIELD_STATUS_CODE</t>
  </si>
  <si>
    <t>PCT_CALC_SHOW_STATUS_CODE</t>
  </si>
  <si>
    <t>SECTION_4</t>
  </si>
  <si>
    <t>SECTION_4_RANGE</t>
  </si>
  <si>
    <t>SECTION_4_DONE_COUNT</t>
  </si>
  <si>
    <t>SECTION_4_TOTAL_COUNT</t>
  </si>
  <si>
    <t>SECTION_4_ERROR_COUNT</t>
  </si>
  <si>
    <t>SECTION_4_PROGRESS_PERCENT</t>
  </si>
  <si>
    <t>SECTION_4_STATUS_TEXT</t>
  </si>
  <si>
    <t>SECTION_4_STATUS_CODE</t>
  </si>
  <si>
    <t>SECTION_4_TOC_LABEL</t>
  </si>
  <si>
    <t>$DB.DATA.TBL_DATA::[A|AB]</t>
  </si>
  <si>
    <t>{0=No Status; 1=All Status;2=Error Only;}</t>
  </si>
  <si>
    <t>Application Progress - # Total Fields (OK, Req. + Error)</t>
  </si>
  <si>
    <t>Application Progress - # Fields Completed (OK Only)</t>
  </si>
  <si>
    <t>SECTION_5</t>
  </si>
  <si>
    <t>Not Used in UI; PCT_CALC version used instead</t>
  </si>
  <si>
    <t>SECTION_5_RANGE</t>
  </si>
  <si>
    <t>SECTION_5_DONE_COUNT</t>
  </si>
  <si>
    <t>SECTION_5_TOTAL_COUNT</t>
  </si>
  <si>
    <t>SECTION_5_ERROR_COUNT</t>
  </si>
  <si>
    <t>SECTION_5_PROGRESS_PERCENT</t>
  </si>
  <si>
    <t>SECTION_5_STATUS_TEXT</t>
  </si>
  <si>
    <t>SECTION_5_STATUS_CODE</t>
  </si>
  <si>
    <t>SECTION_5_TOC_LABEL</t>
  </si>
  <si>
    <t>ERROR_MESSAGE</t>
  </si>
  <si>
    <t>VMIN</t>
  </si>
  <si>
    <t>VMAX</t>
  </si>
  <si>
    <t>STATUS CODE</t>
  </si>
  <si>
    <t>ERR MESSAGE</t>
  </si>
  <si>
    <t>CELL STATUS CODE</t>
  </si>
  <si>
    <t>FIELD VALUE</t>
  </si>
  <si>
    <t>FIELD ID</t>
  </si>
  <si>
    <t>Yes</t>
  </si>
  <si>
    <t>No</t>
  </si>
  <si>
    <t>$DB.LOOKUP.RANGE_LOOKUP_YESNO</t>
  </si>
  <si>
    <t>$DB.LOOKUP.RANGE_LOOKUP_YESNONA</t>
  </si>
  <si>
    <t>Table of Contents</t>
  </si>
  <si>
    <t>EFORM_VERSION_NO</t>
  </si>
  <si>
    <t>eForm Version # (for reference)</t>
  </si>
  <si>
    <t>$DB.LOOKUP.RANGE_LOOKUP_COUNTY</t>
  </si>
  <si>
    <t>COUNTY_CODE</t>
  </si>
  <si>
    <t>Autauga</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</si>
  <si>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</si>
  <si>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</si>
  <si>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</si>
  <si>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</si>
  <si>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</si>
  <si>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</si>
  <si>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</si>
  <si>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</si>
  <si>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</si>
  <si>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</si>
  <si>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</si>
  <si>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</si>
  <si>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</si>
  <si>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</si>
  <si>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</si>
  <si>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</si>
  <si>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</si>
  <si>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</si>
  <si>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</si>
  <si>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</si>
  <si>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</si>
  <si>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</si>
  <si>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</si>
  <si>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</si>
  <si>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</si>
  <si>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</si>
  <si>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</si>
  <si>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</si>
  <si>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</si>
  <si>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</si>
  <si>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</si>
  <si>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</si>
  <si>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</si>
  <si>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</si>
  <si>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</si>
  <si>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</si>
  <si>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</si>
  <si>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</si>
  <si>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</si>
  <si>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</si>
  <si>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</si>
  <si>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</si>
  <si>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</si>
  <si>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Madison</t>
  </si>
  <si>
    <t>Marengo</t>
  </si>
  <si>
    <t>Marion</t>
  </si>
  <si>
    <t>Marshall</t>
  </si>
  <si>
    <t>Mobile</t>
  </si>
  <si>
    <t>Monroe</t>
  </si>
  <si>
    <t>Montgomery</t>
  </si>
  <si>
    <t>Morgan</t>
  </si>
  <si>
    <t>Perry</t>
  </si>
  <si>
    <t>Pickens</t>
  </si>
  <si>
    <t>Pike</t>
  </si>
  <si>
    <t>Randolph</t>
  </si>
  <si>
    <t>Russell</t>
  </si>
  <si>
    <t>St. Clair</t>
  </si>
  <si>
    <t>Shelby</t>
  </si>
  <si>
    <t>Sumter</t>
  </si>
  <si>
    <t>Talladega</t>
  </si>
  <si>
    <t>Tallapoosa</t>
  </si>
  <si>
    <t>Tuscaloosa</t>
  </si>
  <si>
    <t>Walker</t>
  </si>
  <si>
    <t>Washington</t>
  </si>
  <si>
    <t>Wilcox</t>
  </si>
  <si>
    <t>Winston</t>
  </si>
  <si>
    <t>Aleutians East Borough</t>
  </si>
  <si>
    <t>Aleutians West Census Area</t>
  </si>
  <si>
    <t>Anchorage Borough</t>
  </si>
  <si>
    <t>Bethel Census Area</t>
  </si>
  <si>
    <t>Bristol Bay Borough</t>
  </si>
  <si>
    <t>Dillingham Census Area</t>
  </si>
  <si>
    <t>Fairbanks North Star Borough</t>
  </si>
  <si>
    <t>Haines Borough</t>
  </si>
  <si>
    <t>Juneau Borough</t>
  </si>
  <si>
    <t>Kenai Peninsula Borough</t>
  </si>
  <si>
    <t>Ketchikan Gateway Borough</t>
  </si>
  <si>
    <t>Kodiak Island Borough</t>
  </si>
  <si>
    <t>Lake and Peninsula Borough</t>
  </si>
  <si>
    <t>Matanuska-Susitna Borough</t>
  </si>
  <si>
    <t>Nome Census Area</t>
  </si>
  <si>
    <t>North Slope Borough</t>
  </si>
  <si>
    <t>Northwest Arctic Borough</t>
  </si>
  <si>
    <t>Prince of Wales-Outer Ketchikan Census</t>
  </si>
  <si>
    <t>Sitka Borough</t>
  </si>
  <si>
    <t>Skagway-Yakutat-Angoon Census Area</t>
  </si>
  <si>
    <t>Southeast Fairbanks Census Area</t>
  </si>
  <si>
    <t>Valdez-Cordova Census Area</t>
  </si>
  <si>
    <t>Wade Hampton Census Area</t>
  </si>
  <si>
    <t>Wrangell-Petersburg Census Area</t>
  </si>
  <si>
    <t>Yukon-Koyukuk Census Area</t>
  </si>
  <si>
    <t>Apache</t>
  </si>
  <si>
    <t>Cochise</t>
  </si>
  <si>
    <t>Coconino</t>
  </si>
  <si>
    <t>Gila</t>
  </si>
  <si>
    <t>Graham</t>
  </si>
  <si>
    <t>Greenlee</t>
  </si>
  <si>
    <t>La Paz</t>
  </si>
  <si>
    <t>Maricopa</t>
  </si>
  <si>
    <t>Mohave</t>
  </si>
  <si>
    <t>Navajo</t>
  </si>
  <si>
    <t>Pima</t>
  </si>
  <si>
    <t>Pinal</t>
  </si>
  <si>
    <t>Santa Cruz</t>
  </si>
  <si>
    <t>Yavapai</t>
  </si>
  <si>
    <t>Yuma</t>
  </si>
  <si>
    <t>Arkansas</t>
  </si>
  <si>
    <t>Ashley</t>
  </si>
  <si>
    <t>Baxter</t>
  </si>
  <si>
    <t>Benton</t>
  </si>
  <si>
    <t>Boone</t>
  </si>
  <si>
    <t>Bradley</t>
  </si>
  <si>
    <t>Carroll</t>
  </si>
  <si>
    <t>Chicot</t>
  </si>
  <si>
    <t>Clark</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</si>
  <si>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</si>
  <si>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</si>
  <si>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</si>
  <si>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</si>
  <si>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</si>
  <si>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</si>
  <si>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</si>
  <si>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</si>
  <si>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</si>
  <si>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</si>
  <si>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</si>
  <si>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</si>
  <si>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</si>
  <si>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</si>
  <si>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</si>
  <si>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</si>
  <si>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</si>
  <si>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</si>
  <si>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</si>
  <si>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</si>
  <si>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</si>
  <si>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</si>
  <si>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</si>
  <si>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</si>
  <si>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</si>
  <si>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Mississippi</t>
  </si>
  <si>
    <t>Nevada</t>
  </si>
  <si>
    <t>Newton</t>
  </si>
  <si>
    <t>Ouachita</t>
  </si>
  <si>
    <t>Phillips</t>
  </si>
  <si>
    <t>Poinsett</t>
  </si>
  <si>
    <t>Polk</t>
  </si>
  <si>
    <t>Pope</t>
  </si>
  <si>
    <t>Prairie</t>
  </si>
  <si>
    <t>Pulaski</t>
  </si>
  <si>
    <t>St. Francis</t>
  </si>
  <si>
    <t>Saline</t>
  </si>
  <si>
    <t>Scott</t>
  </si>
  <si>
    <t>Searcy</t>
  </si>
  <si>
    <t>Sebastian</t>
  </si>
  <si>
    <t>Sevier</t>
  </si>
  <si>
    <t>Sharp</t>
  </si>
  <si>
    <t>Stone</t>
  </si>
  <si>
    <t>Union</t>
  </si>
  <si>
    <t>Van Buren</t>
  </si>
  <si>
    <t>White</t>
  </si>
  <si>
    <t>Woodruff</t>
  </si>
  <si>
    <t>Yell</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</si>
  <si>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</si>
  <si>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</si>
  <si>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</si>
  <si>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</si>
  <si>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</si>
  <si>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</si>
  <si>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</si>
  <si>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</si>
  <si>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</si>
  <si>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</si>
  <si>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</si>
  <si>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</si>
  <si>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</si>
  <si>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</si>
  <si>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</si>
  <si>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</si>
  <si>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</si>
  <si>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</si>
  <si>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</si>
  <si>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</si>
  <si>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</si>
  <si>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</si>
  <si>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</si>
  <si>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</si>
  <si>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</si>
  <si>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</si>
  <si>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</si>
  <si>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</si>
  <si>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</si>
  <si>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</si>
  <si>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</si>
  <si>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</si>
  <si>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</si>
  <si>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</si>
  <si>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</si>
  <si>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</si>
  <si>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</si>
  <si>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</si>
  <si>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</si>
  <si>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</si>
  <si>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</si>
  <si>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</si>
  <si>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</si>
  <si>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</si>
  <si>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</si>
  <si>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</si>
  <si>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</si>
  <si>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</si>
  <si>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</si>
  <si>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</si>
  <si>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</si>
  <si>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</si>
  <si>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</si>
  <si>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</si>
  <si>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</si>
  <si>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</si>
  <si>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</si>
  <si>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Alamosa</t>
  </si>
  <si>
    <t>Arapahoe</t>
  </si>
  <si>
    <t>Archuleta</t>
  </si>
  <si>
    <t>Baca</t>
  </si>
  <si>
    <t>Bent</t>
  </si>
  <si>
    <t>Boulder</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</si>
  <si>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</si>
  <si>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</si>
  <si>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</si>
  <si>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</si>
  <si>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</si>
  <si>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</si>
  <si>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</si>
  <si>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</si>
  <si>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</si>
  <si>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</si>
  <si>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</si>
  <si>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</si>
  <si>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</si>
  <si>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</si>
  <si>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</si>
  <si>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</si>
  <si>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</si>
  <si>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</si>
  <si>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</si>
  <si>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</si>
  <si>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</si>
  <si>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</si>
  <si>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</si>
  <si>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</si>
  <si>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</si>
  <si>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</si>
  <si>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</si>
  <si>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</si>
  <si>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</si>
  <si>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</si>
  <si>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</si>
  <si>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</si>
  <si>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</si>
  <si>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</si>
  <si>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</si>
  <si>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</si>
  <si>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</si>
  <si>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</si>
  <si>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</si>
  <si>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</si>
  <si>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</si>
  <si>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</si>
  <si>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</si>
  <si>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</si>
  <si>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</si>
  <si>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</si>
  <si>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</si>
  <si>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Fairfield</t>
  </si>
  <si>
    <t>Hartford</t>
  </si>
  <si>
    <t>Litchfield</t>
  </si>
  <si>
    <t>Middlesex</t>
  </si>
  <si>
    <t>New Haven</t>
  </si>
  <si>
    <t>New London</t>
  </si>
  <si>
    <t>Tolland</t>
  </si>
  <si>
    <t>Windham</t>
  </si>
  <si>
    <t>Kent</t>
  </si>
  <si>
    <t>New Castle</t>
  </si>
  <si>
    <t>Sussex</t>
  </si>
  <si>
    <t>District of Columbia</t>
  </si>
  <si>
    <t>DC</t>
  </si>
  <si>
    <t>Alachua</t>
  </si>
  <si>
    <t>Baker</t>
  </si>
  <si>
    <t>Bay</t>
  </si>
  <si>
    <t>Bradford</t>
  </si>
  <si>
    <t>Brevard</t>
  </si>
  <si>
    <t>Broward</t>
  </si>
  <si>
    <t>Charlotte</t>
  </si>
  <si>
    <t>Citrus</t>
  </si>
  <si>
    <t>Collier</t>
  </si>
  <si>
    <t>Dade</t>
  </si>
  <si>
    <t>DeSoto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</si>
  <si>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</si>
  <si>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</si>
  <si>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</si>
  <si>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</si>
  <si>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</si>
  <si>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</si>
  <si>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</si>
  <si>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</si>
  <si>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</si>
  <si>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</si>
  <si>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</si>
  <si>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</si>
  <si>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</si>
  <si>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</si>
  <si>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</si>
  <si>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</si>
  <si>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</si>
  <si>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</si>
  <si>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</si>
  <si>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</si>
  <si>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Nassau</t>
  </si>
  <si>
    <t>Okaloosa</t>
  </si>
  <si>
    <t>Okeechobee</t>
  </si>
  <si>
    <t>Osceola</t>
  </si>
  <si>
    <t>Palm Beach</t>
  </si>
  <si>
    <t>Pasco</t>
  </si>
  <si>
    <t>Pinellas</t>
  </si>
  <si>
    <t>Putnam</t>
  </si>
  <si>
    <t>St. Johns</t>
  </si>
  <si>
    <t>St. Lucie</t>
  </si>
  <si>
    <t>Santa Rosa</t>
  </si>
  <si>
    <t>Sarasota</t>
  </si>
  <si>
    <t>Seminole</t>
  </si>
  <si>
    <t>Suwannee</t>
  </si>
  <si>
    <t>Taylor</t>
  </si>
  <si>
    <t>Volusia</t>
  </si>
  <si>
    <t>Wakulla</t>
  </si>
  <si>
    <t>Walton</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</si>
  <si>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</si>
  <si>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</si>
  <si>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</si>
  <si>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</si>
  <si>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</si>
  <si>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</si>
  <si>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</si>
  <si>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</si>
  <si>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</si>
  <si>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</si>
  <si>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</si>
  <si>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</si>
  <si>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</si>
  <si>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</si>
  <si>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</si>
  <si>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</si>
  <si>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</si>
  <si>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</si>
  <si>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</si>
  <si>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</si>
  <si>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</si>
  <si>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</si>
  <si>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</si>
  <si>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</si>
  <si>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</si>
  <si>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</si>
  <si>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</si>
  <si>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</si>
  <si>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</si>
  <si>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Dawson</t>
  </si>
  <si>
    <t>Decatur</t>
  </si>
  <si>
    <t>De Kalb</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</si>
  <si>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</si>
  <si>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</si>
  <si>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</si>
  <si>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</si>
  <si>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</si>
  <si>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</si>
  <si>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</si>
  <si>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</si>
  <si>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</si>
  <si>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</si>
  <si>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</si>
  <si>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</si>
  <si>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</si>
  <si>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</si>
  <si>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</si>
  <si>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</si>
  <si>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</si>
  <si>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</si>
  <si>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</si>
  <si>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</si>
  <si>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</si>
  <si>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</si>
  <si>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</si>
  <si>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</si>
  <si>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</si>
  <si>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</si>
  <si>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</si>
  <si>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</si>
  <si>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</si>
  <si>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</si>
  <si>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</si>
  <si>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</si>
  <si>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</si>
  <si>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</si>
  <si>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</si>
  <si>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</si>
  <si>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</si>
  <si>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</si>
  <si>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</si>
  <si>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</si>
  <si>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</si>
  <si>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</si>
  <si>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</si>
  <si>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</si>
  <si>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</si>
  <si>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</si>
  <si>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</si>
  <si>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</si>
  <si>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</si>
  <si>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</si>
  <si>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</si>
  <si>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</si>
  <si>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</si>
  <si>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</si>
  <si>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</si>
  <si>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</si>
  <si>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</si>
  <si>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</si>
  <si>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</si>
  <si>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</si>
  <si>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</si>
  <si>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</si>
  <si>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</si>
  <si>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</si>
  <si>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</si>
  <si>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</si>
  <si>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</si>
  <si>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</si>
  <si>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</si>
  <si>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</si>
  <si>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</si>
  <si>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</si>
  <si>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</si>
  <si>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</si>
  <si>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</si>
  <si>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</si>
  <si>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Hawaii</t>
  </si>
  <si>
    <t>Honolulu</t>
  </si>
  <si>
    <t>Kalawao</t>
  </si>
  <si>
    <t>Kauai</t>
  </si>
  <si>
    <t>Maui</t>
  </si>
  <si>
    <t>Ada</t>
  </si>
  <si>
    <t>Bannock</t>
  </si>
  <si>
    <t>Bear Lake</t>
  </si>
  <si>
    <t>Benewah</t>
  </si>
  <si>
    <t>Bingham</t>
  </si>
  <si>
    <t>Blaine</t>
  </si>
  <si>
    <t>Boise</t>
  </si>
  <si>
    <t>Bonner</t>
  </si>
  <si>
    <t>Bonneville</t>
  </si>
  <si>
    <t>Boundary</t>
  </si>
  <si>
    <t>Camas</t>
  </si>
  <si>
    <t>Canyon</t>
  </si>
  <si>
    <t>Caribou</t>
  </si>
  <si>
    <t>Cassia</t>
  </si>
  <si>
    <t>Clearwater</t>
  </si>
  <si>
    <t>Gem</t>
  </si>
  <si>
    <t>Gooding</t>
  </si>
  <si>
    <t>Idaho</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</si>
  <si>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</si>
  <si>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</si>
  <si>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</si>
  <si>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</si>
  <si>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</si>
  <si>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</si>
  <si>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</si>
  <si>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</si>
  <si>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</si>
  <si>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</si>
  <si>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</si>
  <si>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</si>
  <si>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</si>
  <si>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</si>
  <si>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</si>
  <si>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</si>
  <si>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</si>
  <si>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</si>
  <si>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</si>
  <si>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Cass</t>
  </si>
  <si>
    <t>Champaign</t>
  </si>
  <si>
    <t>Christian</t>
  </si>
  <si>
    <t>Clinton</t>
  </si>
  <si>
    <t>Coles</t>
  </si>
  <si>
    <t>Cumberland</t>
  </si>
  <si>
    <t>De Witt</t>
  </si>
  <si>
    <t>Du Page</t>
  </si>
  <si>
    <t>Edgar</t>
  </si>
  <si>
    <t>Edwards</t>
  </si>
  <si>
    <t>Ford</t>
  </si>
  <si>
    <t>Gallatin</t>
  </si>
  <si>
    <t>Grundy</t>
  </si>
  <si>
    <t>Hardin</t>
  </si>
  <si>
    <t>Henderson</t>
  </si>
  <si>
    <t>Iroquois</t>
  </si>
  <si>
    <t>Jersey</t>
  </si>
  <si>
    <t>Jo Daviess</t>
  </si>
  <si>
    <t>Kane</t>
  </si>
  <si>
    <t>Kankakee</t>
  </si>
  <si>
    <t>Kendall</t>
  </si>
  <si>
    <t>Knox</t>
  </si>
  <si>
    <t>La 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</si>
  <si>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</si>
  <si>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</si>
  <si>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</si>
  <si>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</si>
  <si>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</si>
  <si>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</si>
  <si>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</si>
  <si>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</si>
  <si>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</si>
  <si>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</si>
  <si>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</si>
  <si>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</si>
  <si>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</si>
  <si>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</si>
  <si>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</si>
  <si>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</si>
  <si>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</si>
  <si>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</si>
  <si>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</si>
  <si>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</si>
  <si>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</si>
  <si>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</si>
  <si>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</si>
  <si>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</si>
  <si>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</si>
  <si>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</si>
  <si>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</si>
  <si>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Allen</t>
  </si>
  <si>
    <t>Bartholomew</t>
  </si>
  <si>
    <t>Blackford</t>
  </si>
  <si>
    <t>Daviess</t>
  </si>
  <si>
    <t>Dearborn</t>
  </si>
  <si>
    <t>Delaware</t>
  </si>
  <si>
    <t>Dubois</t>
  </si>
  <si>
    <t>Elkhart</t>
  </si>
  <si>
    <t>Fountain</t>
  </si>
  <si>
    <t>Gibson</t>
  </si>
  <si>
    <t>Harrison</t>
  </si>
  <si>
    <t>Hendricks</t>
  </si>
  <si>
    <t>Huntington</t>
  </si>
  <si>
    <t>Jay</t>
  </si>
  <si>
    <t>Jennings</t>
  </si>
  <si>
    <t>Kosciusko</t>
  </si>
  <si>
    <t>Lagrange</t>
  </si>
  <si>
    <t>La Porte</t>
  </si>
  <si>
    <t>Miami</t>
  </si>
  <si>
    <t>Noble</t>
  </si>
  <si>
    <t>Ohio</t>
  </si>
  <si>
    <t>Owen</t>
  </si>
  <si>
    <t>Parke</t>
  </si>
  <si>
    <t>Porter</t>
  </si>
  <si>
    <t>Posey</t>
  </si>
  <si>
    <t>Ripley</t>
  </si>
  <si>
    <t>Rush</t>
  </si>
  <si>
    <t>St. Joseph</t>
  </si>
  <si>
    <t>Spencer</t>
  </si>
  <si>
    <t>Starke</t>
  </si>
  <si>
    <t>Steuben</t>
  </si>
  <si>
    <t>Sullivan</t>
  </si>
  <si>
    <t>Switzerland</t>
  </si>
  <si>
    <t>Tippecanoe</t>
  </si>
  <si>
    <t>Tipton</t>
  </si>
  <si>
    <t>Vanderburgh</t>
  </si>
  <si>
    <t>Vermillion</t>
  </si>
  <si>
    <t>Vigo</t>
  </si>
  <si>
    <t>Warrick</t>
  </si>
  <si>
    <t>Wells</t>
  </si>
  <si>
    <t>Whitley</t>
  </si>
  <si>
    <t>Adair</t>
  </si>
  <si>
    <t>Allamakee</t>
  </si>
  <si>
    <t>Appanoose</t>
  </si>
  <si>
    <t>Audubon</t>
  </si>
  <si>
    <t>Black Hawk</t>
  </si>
  <si>
    <t>Bremer</t>
  </si>
  <si>
    <t>Buchanan</t>
  </si>
  <si>
    <t>Buena Vista</t>
  </si>
  <si>
    <t>Cedar</t>
  </si>
  <si>
    <t>Cerro Gordo</t>
  </si>
  <si>
    <t>Chickasaw</t>
  </si>
  <si>
    <t>Davis</t>
  </si>
  <si>
    <t>Des Moines</t>
  </si>
  <si>
    <t>Dickinson</t>
  </si>
  <si>
    <t>Dubuque</t>
  </si>
  <si>
    <t>Emmet</t>
  </si>
  <si>
    <t>Guthrie</t>
  </si>
  <si>
    <t>Ida</t>
  </si>
  <si>
    <t>Iowa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</si>
  <si>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</si>
  <si>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</si>
  <si>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</si>
  <si>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</si>
  <si>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</si>
  <si>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</si>
  <si>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</si>
  <si>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</si>
  <si>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</si>
  <si>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</si>
  <si>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</si>
  <si>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</si>
  <si>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</si>
  <si>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</si>
  <si>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</si>
  <si>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</si>
  <si>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</si>
  <si>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</si>
  <si>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</si>
  <si>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</si>
  <si>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</si>
  <si>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</si>
  <si>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</si>
  <si>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</si>
  <si>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</si>
  <si>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</si>
  <si>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</si>
  <si>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</si>
  <si>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</si>
  <si>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</si>
  <si>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</si>
  <si>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</si>
  <si>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</si>
  <si>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</si>
  <si>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</si>
  <si>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</si>
  <si>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</si>
  <si>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</si>
  <si>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</si>
  <si>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</si>
  <si>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</si>
  <si>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</si>
  <si>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</si>
  <si>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</si>
  <si>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</si>
  <si>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</si>
  <si>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</si>
  <si>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</si>
  <si>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</si>
  <si>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</si>
  <si>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</si>
  <si>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</si>
  <si>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</si>
  <si>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</si>
  <si>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</si>
  <si>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</si>
  <si>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</si>
  <si>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</si>
  <si>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</si>
  <si>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</si>
  <si>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</si>
  <si>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</si>
  <si>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</si>
  <si>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</si>
  <si>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</si>
  <si>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</si>
  <si>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</si>
  <si>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</si>
  <si>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</si>
  <si>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</si>
  <si>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</si>
  <si>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</si>
  <si>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</si>
  <si>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</si>
  <si>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</si>
  <si>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</si>
  <si>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</si>
  <si>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</si>
  <si>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</si>
  <si>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</si>
  <si>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</si>
  <si>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</si>
  <si>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</si>
  <si>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</si>
  <si>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</si>
  <si>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</si>
  <si>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</si>
  <si>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</si>
  <si>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</si>
  <si>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</si>
  <si>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</si>
  <si>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</si>
  <si>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</si>
  <si>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</si>
  <si>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</si>
  <si>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</si>
  <si>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</si>
  <si>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</si>
  <si>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</si>
  <si>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</si>
  <si>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</si>
  <si>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</si>
  <si>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</si>
  <si>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</si>
  <si>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</si>
  <si>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</si>
  <si>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</si>
  <si>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</si>
  <si>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</si>
  <si>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</si>
  <si>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</si>
  <si>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</si>
  <si>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</si>
  <si>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</si>
  <si>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</si>
  <si>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</si>
  <si>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</si>
  <si>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</si>
  <si>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</si>
  <si>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</si>
  <si>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</si>
  <si>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</si>
  <si>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</si>
  <si>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</si>
  <si>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</si>
  <si>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</si>
  <si>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</si>
  <si>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</si>
  <si>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McCracken</t>
  </si>
  <si>
    <t>McCreary</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</si>
  <si>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</si>
  <si>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</si>
  <si>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</si>
  <si>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</si>
  <si>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</si>
  <si>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</si>
  <si>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</si>
  <si>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</si>
  <si>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</si>
  <si>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</si>
  <si>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</si>
  <si>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</si>
  <si>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</si>
  <si>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</si>
  <si>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</si>
  <si>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</si>
  <si>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</si>
  <si>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</si>
  <si>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</si>
  <si>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</si>
  <si>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</si>
  <si>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</si>
  <si>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</si>
  <si>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</si>
  <si>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</si>
  <si>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</si>
  <si>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</si>
  <si>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</si>
  <si>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</si>
  <si>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</si>
  <si>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</si>
  <si>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</si>
  <si>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</si>
  <si>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</si>
  <si>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</si>
  <si>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</si>
  <si>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</si>
  <si>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</si>
  <si>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</si>
  <si>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</si>
  <si>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</si>
  <si>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</si>
  <si>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</si>
  <si>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</si>
  <si>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</si>
  <si>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</si>
  <si>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</si>
  <si>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La 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</si>
  <si>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</si>
  <si>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</si>
  <si>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</si>
  <si>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</si>
  <si>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</si>
  <si>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</si>
  <si>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</si>
  <si>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</si>
  <si>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</si>
  <si>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</si>
  <si>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</si>
  <si>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</si>
  <si>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</si>
  <si>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</si>
  <si>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</si>
  <si>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</si>
  <si>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</si>
  <si>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</si>
  <si>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</si>
  <si>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</si>
  <si>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</si>
  <si>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</si>
  <si>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</si>
  <si>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</si>
  <si>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</si>
  <si>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</si>
  <si>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</si>
  <si>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</si>
  <si>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</si>
  <si>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</si>
  <si>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</si>
  <si>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</si>
  <si>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</si>
  <si>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</si>
  <si>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Androscoggin</t>
  </si>
  <si>
    <t>Aroostook</t>
  </si>
  <si>
    <t>Kennebec</t>
  </si>
  <si>
    <t>Oxford</t>
  </si>
  <si>
    <t>Penobscot</t>
  </si>
  <si>
    <t>Piscataquis</t>
  </si>
  <si>
    <t>Sagadahoc</t>
  </si>
  <si>
    <t>Somerset</t>
  </si>
  <si>
    <t>Waldo</t>
  </si>
  <si>
    <t>York</t>
  </si>
  <si>
    <t>Allegany</t>
  </si>
  <si>
    <t>Anne Arundel</t>
  </si>
  <si>
    <t>Baltimore</t>
  </si>
  <si>
    <t>Calvert</t>
  </si>
  <si>
    <t>Caroline</t>
  </si>
  <si>
    <t>Cecil</t>
  </si>
  <si>
    <t>Charles</t>
  </si>
  <si>
    <t>Dorchester</t>
  </si>
  <si>
    <t>Frederick</t>
  </si>
  <si>
    <t>Garrett</t>
  </si>
  <si>
    <t>Harford</t>
  </si>
  <si>
    <t>Prince George's</t>
  </si>
  <si>
    <t>Queen Anne's</t>
  </si>
  <si>
    <t>St. Mary's</t>
  </si>
  <si>
    <t>Wicomico</t>
  </si>
  <si>
    <t>Worcester</t>
  </si>
  <si>
    <t>Baltimore city</t>
  </si>
  <si>
    <t>Barnstable</t>
  </si>
  <si>
    <t>Berkshire</t>
  </si>
  <si>
    <t>Bristol</t>
  </si>
  <si>
    <t>Dukes</t>
  </si>
  <si>
    <t>Essex</t>
  </si>
  <si>
    <t>Hampden</t>
  </si>
  <si>
    <t>Hampshire</t>
  </si>
  <si>
    <t>Nantucket</t>
  </si>
  <si>
    <t>Norfolk</t>
  </si>
  <si>
    <t>Suffolk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</si>
  <si>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</si>
  <si>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</si>
  <si>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</si>
  <si>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</si>
  <si>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</si>
  <si>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</si>
  <si>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</si>
  <si>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</si>
  <si>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</si>
  <si>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</si>
  <si>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</si>
  <si>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</si>
  <si>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</si>
  <si>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</si>
  <si>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</si>
  <si>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</si>
  <si>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</si>
  <si>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</si>
  <si>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</si>
  <si>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</si>
  <si>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</si>
  <si>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</si>
  <si>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</si>
  <si>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</si>
  <si>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</si>
  <si>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</si>
  <si>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</si>
  <si>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</si>
  <si>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</si>
  <si>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</si>
  <si>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</si>
  <si>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</si>
  <si>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</si>
  <si>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</si>
  <si>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</si>
  <si>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</si>
  <si>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</si>
  <si>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</si>
  <si>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</si>
  <si>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</si>
  <si>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</si>
  <si>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</si>
  <si>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</si>
  <si>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</si>
  <si>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</si>
  <si>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</si>
  <si>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</si>
  <si>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</si>
  <si>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</si>
  <si>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</si>
  <si>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</si>
  <si>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</si>
  <si>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</si>
  <si>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</si>
  <si>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</si>
  <si>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</si>
  <si>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</si>
  <si>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</si>
  <si>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</si>
  <si>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</si>
  <si>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</si>
  <si>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</si>
  <si>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</si>
  <si>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</si>
  <si>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</si>
  <si>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</si>
  <si>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</si>
  <si>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</si>
  <si>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</si>
  <si>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</si>
  <si>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</si>
  <si>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</si>
  <si>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</si>
  <si>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</si>
  <si>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</si>
  <si>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</si>
  <si>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</si>
  <si>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</si>
  <si>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</si>
  <si>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</si>
  <si>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</si>
  <si>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</si>
  <si>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</si>
  <si>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</si>
  <si>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</si>
  <si>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</si>
  <si>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</si>
  <si>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</si>
  <si>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</si>
  <si>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McLeod</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</si>
  <si>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</si>
  <si>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</si>
  <si>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</si>
  <si>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</si>
  <si>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</si>
  <si>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</si>
  <si>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</si>
  <si>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</si>
  <si>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</si>
  <si>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</si>
  <si>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</si>
  <si>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</si>
  <si>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</si>
  <si>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</si>
  <si>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</si>
  <si>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</si>
  <si>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</si>
  <si>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</si>
  <si>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</si>
  <si>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St. Louis</t>
  </si>
  <si>
    <t>Sherburne</t>
  </si>
  <si>
    <t>Sibley</t>
  </si>
  <si>
    <t>Stearns</t>
  </si>
  <si>
    <t>Steele</t>
  </si>
  <si>
    <t>Swift</t>
  </si>
  <si>
    <t>Traverse</t>
  </si>
  <si>
    <t>Wabasha</t>
  </si>
  <si>
    <t>Wadena</t>
  </si>
  <si>
    <t>Waseca</t>
  </si>
  <si>
    <t>Watonwan</t>
  </si>
  <si>
    <t>Wilkin</t>
  </si>
  <si>
    <t>Winona</t>
  </si>
  <si>
    <t>Yellow Medicine</t>
  </si>
  <si>
    <t>Alcorn</t>
  </si>
  <si>
    <t>Amite</t>
  </si>
  <si>
    <t>Attala</t>
  </si>
  <si>
    <t>Bolivar</t>
  </si>
  <si>
    <t>Claiborne</t>
  </si>
  <si>
    <t>Coahoma</t>
  </si>
  <si>
    <t>Copiah</t>
  </si>
  <si>
    <t>De Soto</t>
  </si>
  <si>
    <t>Forrest</t>
  </si>
  <si>
    <t>George</t>
  </si>
  <si>
    <t>Grenada</t>
  </si>
  <si>
    <t>Hinds</t>
  </si>
  <si>
    <t>Humphreys</t>
  </si>
  <si>
    <t>Issaquena</t>
  </si>
  <si>
    <t>Itawamba</t>
  </si>
  <si>
    <t>Jefferson Davis</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</si>
  <si>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</si>
  <si>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</si>
  <si>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</si>
  <si>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</si>
  <si>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</si>
  <si>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</si>
  <si>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</si>
  <si>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</si>
  <si>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</si>
  <si>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</si>
  <si>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</si>
  <si>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</si>
  <si>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</si>
  <si>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</si>
  <si>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</si>
  <si>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</si>
  <si>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</si>
  <si>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</si>
  <si>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</si>
  <si>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</si>
  <si>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</si>
  <si>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</si>
  <si>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</si>
  <si>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</si>
  <si>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</si>
  <si>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</si>
  <si>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</si>
  <si>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</si>
  <si>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</si>
  <si>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</si>
  <si>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</si>
  <si>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</si>
  <si>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</si>
  <si>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</si>
  <si>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</si>
  <si>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</si>
  <si>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</si>
  <si>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</si>
  <si>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McDonald</t>
  </si>
  <si>
    <t>Maries</t>
  </si>
  <si>
    <t>Moniteau</t>
  </si>
  <si>
    <t>New Madrid</t>
  </si>
  <si>
    <t>Nodaway</t>
  </si>
  <si>
    <t>Oregon</t>
  </si>
  <si>
    <t>Ozark</t>
  </si>
  <si>
    <t>Pemiscot</t>
  </si>
  <si>
    <t>Pettis</t>
  </si>
  <si>
    <t>Phelps</t>
  </si>
  <si>
    <t>Platte</t>
  </si>
  <si>
    <t>Ralls</t>
  </si>
  <si>
    <t>Ray</t>
  </si>
  <si>
    <t>Reynolds</t>
  </si>
  <si>
    <t>St. Charles</t>
  </si>
  <si>
    <t>Ste. Genevieve</t>
  </si>
  <si>
    <t>St. Francois</t>
  </si>
  <si>
    <t>Scotland</t>
  </si>
  <si>
    <t>Shannon</t>
  </si>
  <si>
    <t>Stoddard</t>
  </si>
  <si>
    <t>Taney</t>
  </si>
  <si>
    <t>Texas</t>
  </si>
  <si>
    <t>Vernon</t>
  </si>
  <si>
    <t>St. Louis city</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</si>
  <si>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</si>
  <si>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</si>
  <si>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</si>
  <si>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</si>
  <si>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</si>
  <si>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</si>
  <si>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</si>
  <si>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</si>
  <si>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</si>
  <si>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</si>
  <si>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</si>
  <si>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</si>
  <si>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</si>
  <si>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</si>
  <si>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</si>
  <si>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</si>
  <si>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</si>
  <si>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</si>
  <si>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</si>
  <si>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</si>
  <si>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</si>
  <si>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</si>
  <si>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</si>
  <si>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</si>
  <si>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</si>
  <si>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</si>
  <si>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</si>
  <si>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</si>
  <si>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</si>
  <si>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</si>
  <si>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</si>
  <si>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</si>
  <si>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</si>
  <si>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</si>
  <si>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</si>
  <si>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</si>
  <si>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Yellowstone National Park</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</si>
  <si>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</si>
  <si>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</si>
  <si>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</si>
  <si>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</si>
  <si>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</si>
  <si>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</si>
  <si>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</si>
  <si>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</si>
  <si>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</si>
  <si>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</si>
  <si>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</si>
  <si>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</si>
  <si>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</si>
  <si>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</si>
  <si>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</si>
  <si>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</si>
  <si>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</si>
  <si>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</si>
  <si>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</si>
  <si>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</si>
  <si>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</si>
  <si>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</si>
  <si>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</si>
  <si>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</si>
  <si>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</si>
  <si>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</si>
  <si>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</si>
  <si>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</si>
  <si>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</si>
  <si>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</si>
  <si>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</si>
  <si>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</si>
  <si>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</si>
  <si>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</si>
  <si>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</si>
  <si>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</si>
  <si>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</si>
  <si>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</si>
  <si>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</si>
  <si>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</si>
  <si>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</si>
  <si>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Elko</t>
  </si>
  <si>
    <t>Esmeralda</t>
  </si>
  <si>
    <t>Eureka</t>
  </si>
  <si>
    <t>Lander</t>
  </si>
  <si>
    <t>Nye</t>
  </si>
  <si>
    <t>Pershing</t>
  </si>
  <si>
    <t>Storey</t>
  </si>
  <si>
    <t>Washoe</t>
  </si>
  <si>
    <t>White Pine</t>
  </si>
  <si>
    <t>Carson City</t>
  </si>
  <si>
    <t>Belknap</t>
  </si>
  <si>
    <t>Cheshire</t>
  </si>
  <si>
    <t>Coos</t>
  </si>
  <si>
    <t>Grafton</t>
  </si>
  <si>
    <t>Merrimack</t>
  </si>
  <si>
    <t>Rockingham</t>
  </si>
  <si>
    <t>Strafford</t>
  </si>
  <si>
    <t>Atlantic</t>
  </si>
  <si>
    <t>Bergen</t>
  </si>
  <si>
    <t>Burlington</t>
  </si>
  <si>
    <t>Cape May</t>
  </si>
  <si>
    <t>Gloucester</t>
  </si>
  <si>
    <t>Hudson</t>
  </si>
  <si>
    <t>Hunterdon</t>
  </si>
  <si>
    <t>Monmouth</t>
  </si>
  <si>
    <t>Ocean</t>
  </si>
  <si>
    <t>Passaic</t>
  </si>
  <si>
    <t>Salem</t>
  </si>
  <si>
    <t>Bernalillo</t>
  </si>
  <si>
    <t>Catron</t>
  </si>
  <si>
    <t>Chaves</t>
  </si>
  <si>
    <t>Cibola</t>
  </si>
  <si>
    <t>Curry</t>
  </si>
  <si>
    <t>DeBaca</t>
  </si>
  <si>
    <t>Dona Ana</t>
  </si>
  <si>
    <t>Eddy</t>
  </si>
  <si>
    <t>Guadalupe</t>
  </si>
  <si>
    <t>Harding</t>
  </si>
  <si>
    <t>Hidalgo</t>
  </si>
  <si>
    <t>Lea</t>
  </si>
  <si>
    <t>Los Alamos</t>
  </si>
  <si>
    <t>Luna</t>
  </si>
  <si>
    <t>McKinley</t>
  </si>
  <si>
    <t>Mora</t>
  </si>
  <si>
    <t>Quay</t>
  </si>
  <si>
    <t>Rio Arriba</t>
  </si>
  <si>
    <t>Sandoval</t>
  </si>
  <si>
    <t>Santa Fe</t>
  </si>
  <si>
    <t>Socorro</t>
  </si>
  <si>
    <t>Taos</t>
  </si>
  <si>
    <t>Torrance</t>
  </si>
  <si>
    <t>Valencia</t>
  </si>
  <si>
    <t>Albany</t>
  </si>
  <si>
    <t>Bronx</t>
  </si>
  <si>
    <t>Broome</t>
  </si>
  <si>
    <t>Cattaraugus</t>
  </si>
  <si>
    <t>Cayuga</t>
  </si>
  <si>
    <t>Chemung</t>
  </si>
  <si>
    <t>Chenango</t>
  </si>
  <si>
    <t>Cortland</t>
  </si>
  <si>
    <t>Dutchess</t>
  </si>
  <si>
    <t>Erie</t>
  </si>
  <si>
    <t>Herkimer</t>
  </si>
  <si>
    <t>New York</t>
  </si>
  <si>
    <t>Niagara</t>
  </si>
  <si>
    <t>Onondaga</t>
  </si>
  <si>
    <t>Ontario</t>
  </si>
  <si>
    <t>Orleans</t>
  </si>
  <si>
    <t>Oswego</t>
  </si>
  <si>
    <t>Queens</t>
  </si>
  <si>
    <t>Rensselaer</t>
  </si>
  <si>
    <t>Rockland</t>
  </si>
  <si>
    <t>St. Lawrence</t>
  </si>
  <si>
    <t>Saratoga</t>
  </si>
  <si>
    <t>Schenectady</t>
  </si>
  <si>
    <t>Schoharie</t>
  </si>
  <si>
    <t>Seneca</t>
  </si>
  <si>
    <t>Tioga</t>
  </si>
  <si>
    <t>Tompkins</t>
  </si>
  <si>
    <t>Ulster</t>
  </si>
  <si>
    <t>Westchester</t>
  </si>
  <si>
    <t>Wyoming</t>
  </si>
  <si>
    <t>Yates</t>
  </si>
  <si>
    <t>Alamance</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</si>
  <si>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</si>
  <si>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</si>
  <si>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</si>
  <si>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</si>
  <si>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</si>
  <si>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</si>
  <si>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</si>
  <si>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</si>
  <si>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</si>
  <si>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</si>
  <si>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</si>
  <si>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</si>
  <si>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</si>
  <si>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</si>
  <si>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</si>
  <si>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</si>
  <si>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</si>
  <si>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</si>
  <si>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</si>
  <si>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</si>
  <si>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</si>
  <si>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</si>
  <si>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</si>
  <si>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</si>
  <si>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</si>
  <si>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</si>
  <si>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</si>
  <si>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</si>
  <si>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</si>
  <si>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</si>
  <si>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</si>
  <si>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</si>
  <si>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</si>
  <si>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</si>
  <si>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</si>
  <si>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</si>
  <si>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McDowell</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</si>
  <si>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</si>
  <si>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</si>
  <si>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</si>
  <si>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</si>
  <si>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</si>
  <si>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</si>
  <si>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</si>
  <si>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</si>
  <si>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</si>
  <si>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</si>
  <si>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</si>
  <si>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</si>
  <si>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</si>
  <si>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</si>
  <si>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</si>
  <si>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</si>
  <si>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</si>
  <si>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</si>
  <si>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</si>
  <si>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</si>
  <si>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</si>
  <si>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</si>
  <si>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</si>
  <si>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</si>
  <si>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</si>
  <si>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</si>
  <si>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Barnes</t>
  </si>
  <si>
    <t>Benson</t>
  </si>
  <si>
    <t>Billings</t>
  </si>
  <si>
    <t>Bottineau</t>
  </si>
  <si>
    <t>Bowman</t>
  </si>
  <si>
    <t>Burleigh</t>
  </si>
  <si>
    <t>Cavalier</t>
  </si>
  <si>
    <t>Dickey</t>
  </si>
  <si>
    <t>Divide</t>
  </si>
  <si>
    <t>Dunn</t>
  </si>
  <si>
    <t>Emmons</t>
  </si>
  <si>
    <t>Foster</t>
  </si>
  <si>
    <t>Grand Forks</t>
  </si>
  <si>
    <t>Griggs</t>
  </si>
  <si>
    <t>Hettinger</t>
  </si>
  <si>
    <t>Kidder</t>
  </si>
  <si>
    <t>LaMoure</t>
  </si>
  <si>
    <t>McKenzie</t>
  </si>
  <si>
    <t>Mountrail</t>
  </si>
  <si>
    <t>Oliver</t>
  </si>
  <si>
    <t>Pembina</t>
  </si>
  <si>
    <t>Ransom</t>
  </si>
  <si>
    <t>Rolette</t>
  </si>
  <si>
    <t>Sargent</t>
  </si>
  <si>
    <t>Slope</t>
  </si>
  <si>
    <t>Stutsman</t>
  </si>
  <si>
    <t>Towner</t>
  </si>
  <si>
    <t>Traill</t>
  </si>
  <si>
    <t>Walsh</t>
  </si>
  <si>
    <t>Ward</t>
  </si>
  <si>
    <t>Williams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</si>
  <si>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</si>
  <si>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</si>
  <si>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</si>
  <si>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</si>
  <si>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</si>
  <si>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</si>
  <si>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</si>
  <si>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</si>
  <si>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</si>
  <si>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</si>
  <si>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</si>
  <si>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</si>
  <si>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</si>
  <si>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</si>
  <si>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</si>
  <si>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</si>
  <si>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</si>
  <si>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</si>
  <si>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</si>
  <si>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</si>
  <si>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</si>
  <si>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</si>
  <si>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</si>
  <si>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</si>
  <si>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</si>
  <si>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</si>
  <si>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</si>
  <si>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</si>
  <si>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</si>
  <si>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</si>
  <si>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</si>
  <si>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</si>
  <si>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</si>
  <si>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</si>
  <si>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</si>
  <si>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Alfalfa</t>
  </si>
  <si>
    <t>Atoka</t>
  </si>
  <si>
    <t>Beaver</t>
  </si>
  <si>
    <t>Beckham</t>
  </si>
  <si>
    <t>Caddo</t>
  </si>
  <si>
    <t>Canadian</t>
  </si>
  <si>
    <t>Cimarron</t>
  </si>
  <si>
    <t>Coal</t>
  </si>
  <si>
    <t>Cotton</t>
  </si>
  <si>
    <t>Craig</t>
  </si>
  <si>
    <t>Creek</t>
  </si>
  <si>
    <t>Dewey</t>
  </si>
  <si>
    <t>Garvin</t>
  </si>
  <si>
    <t>Greer</t>
  </si>
  <si>
    <t>Harmon</t>
  </si>
  <si>
    <t>Hughes</t>
  </si>
  <si>
    <t>Kay</t>
  </si>
  <si>
    <t>Kingfisher</t>
  </si>
  <si>
    <t>Latimer</t>
  </si>
  <si>
    <t>Le Flore</t>
  </si>
  <si>
    <t>Love</t>
  </si>
  <si>
    <t>McClain</t>
  </si>
  <si>
    <t>McCurtain</t>
  </si>
  <si>
    <t>Major</t>
  </si>
  <si>
    <t>Mayes</t>
  </si>
  <si>
    <t>Muskogee</t>
  </si>
  <si>
    <t>Nowata</t>
  </si>
  <si>
    <t>Okfuskee</t>
  </si>
  <si>
    <t>Oklahoma</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</si>
  <si>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</si>
  <si>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</si>
  <si>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</si>
  <si>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</si>
  <si>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</si>
  <si>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</si>
  <si>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</si>
  <si>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</si>
  <si>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</si>
  <si>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</si>
  <si>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</si>
  <si>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</si>
  <si>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</si>
  <si>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</si>
  <si>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</si>
  <si>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</si>
  <si>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</si>
  <si>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</si>
  <si>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</si>
  <si>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</si>
  <si>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</si>
  <si>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</si>
  <si>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</si>
  <si>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</si>
  <si>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</si>
  <si>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</si>
  <si>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</si>
  <si>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</si>
  <si>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</si>
  <si>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Allegheny</t>
  </si>
  <si>
    <t>Armstrong</t>
  </si>
  <si>
    <t>Bedford</t>
  </si>
  <si>
    <t>Berks</t>
  </si>
  <si>
    <t>Blair</t>
  </si>
  <si>
    <t>Bucks</t>
  </si>
  <si>
    <t>Cambria</t>
  </si>
  <si>
    <t>Cameron</t>
  </si>
  <si>
    <t>Centre</t>
  </si>
  <si>
    <t>Chester</t>
  </si>
  <si>
    <t>Clarion</t>
  </si>
  <si>
    <t>Clearfield</t>
  </si>
  <si>
    <t>Dauphin</t>
  </si>
  <si>
    <t>Forest</t>
  </si>
  <si>
    <t>Huntingdon</t>
  </si>
  <si>
    <t>Indiana</t>
  </si>
  <si>
    <t>Juniata</t>
  </si>
  <si>
    <t>Lackawanna</t>
  </si>
  <si>
    <t>Lebanon</t>
  </si>
  <si>
    <t>Lehigh</t>
  </si>
  <si>
    <t>Luzerne</t>
  </si>
  <si>
    <t>Lycoming</t>
  </si>
  <si>
    <t>Mc Kean</t>
  </si>
  <si>
    <t>Mifflin</t>
  </si>
  <si>
    <t>Montour</t>
  </si>
  <si>
    <t>Northumberland</t>
  </si>
  <si>
    <t>Philadelphia</t>
  </si>
  <si>
    <t>Potter</t>
  </si>
  <si>
    <t>Schuylkill</t>
  </si>
  <si>
    <t>Snyder</t>
  </si>
  <si>
    <t>Susquehanna</t>
  </si>
  <si>
    <t>Venango</t>
  </si>
  <si>
    <t>Westmoreland</t>
  </si>
  <si>
    <t>Newport</t>
  </si>
  <si>
    <t>Providence</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</si>
  <si>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</si>
  <si>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</si>
  <si>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</si>
  <si>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</si>
  <si>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</si>
  <si>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</si>
  <si>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</si>
  <si>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</si>
  <si>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</si>
  <si>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</si>
  <si>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</si>
  <si>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</si>
  <si>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</si>
  <si>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</si>
  <si>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</si>
  <si>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</si>
  <si>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</si>
  <si>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</si>
  <si>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</si>
  <si>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</si>
  <si>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McCormick</t>
  </si>
  <si>
    <t>Marlboro</t>
  </si>
  <si>
    <t>Newberry</t>
  </si>
  <si>
    <t>Orangeburg</t>
  </si>
  <si>
    <t>Saluda</t>
  </si>
  <si>
    <t>Spartanburg</t>
  </si>
  <si>
    <t>Williamsburg</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</si>
  <si>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</si>
  <si>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</si>
  <si>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</si>
  <si>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</si>
  <si>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</si>
  <si>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</si>
  <si>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</si>
  <si>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</si>
  <si>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</si>
  <si>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</si>
  <si>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</si>
  <si>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</si>
  <si>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</si>
  <si>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</si>
  <si>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</si>
  <si>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</si>
  <si>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</si>
  <si>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</si>
  <si>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</si>
  <si>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</si>
  <si>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</si>
  <si>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</si>
  <si>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</si>
  <si>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McCook</t>
  </si>
  <si>
    <t>Mellette</t>
  </si>
  <si>
    <t>Miner</t>
  </si>
  <si>
    <t>Minnehaha</t>
  </si>
  <si>
    <t>Moody</t>
  </si>
  <si>
    <t>Roberts</t>
  </si>
  <si>
    <t>Sanborn</t>
  </si>
  <si>
    <t>Spink</t>
  </si>
  <si>
    <t>Stanley</t>
  </si>
  <si>
    <t>Sully</t>
  </si>
  <si>
    <t>Tripp</t>
  </si>
  <si>
    <t>Walworth</t>
  </si>
  <si>
    <t>Yankton</t>
  </si>
  <si>
    <t>Ziebach</t>
  </si>
  <si>
    <t>Bledsoe</t>
  </si>
  <si>
    <t>Cannon</t>
  </si>
  <si>
    <t>Cheatham</t>
  </si>
  <si>
    <t>Cocke</t>
  </si>
  <si>
    <t>Crockett</t>
  </si>
  <si>
    <t>Dickson</t>
  </si>
  <si>
    <t>Dyer</t>
  </si>
  <si>
    <t>Fentress</t>
  </si>
  <si>
    <t>Giles</t>
  </si>
  <si>
    <t>Grainger</t>
  </si>
  <si>
    <t>Hamblen</t>
  </si>
  <si>
    <t>Hardeman</t>
  </si>
  <si>
    <t>Hawkins</t>
  </si>
  <si>
    <t>Loudon</t>
  </si>
  <si>
    <t>McMinn</t>
  </si>
  <si>
    <t>McNairy</t>
  </si>
  <si>
    <t>Maury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</si>
  <si>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</si>
  <si>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</si>
  <si>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</si>
  <si>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</si>
  <si>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</si>
  <si>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</si>
  <si>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</si>
  <si>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</si>
  <si>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</si>
  <si>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</si>
  <si>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</si>
  <si>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</si>
  <si>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</si>
  <si>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</si>
  <si>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</si>
  <si>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</si>
  <si>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</si>
  <si>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</si>
  <si>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</si>
  <si>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</si>
  <si>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</si>
  <si>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</si>
  <si>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</si>
  <si>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</si>
  <si>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</si>
  <si>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</si>
  <si>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</si>
  <si>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</si>
  <si>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</si>
  <si>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</si>
  <si>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</si>
  <si>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</si>
  <si>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</si>
  <si>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</si>
  <si>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</si>
  <si>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</si>
  <si>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</si>
  <si>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</si>
  <si>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</si>
  <si>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</si>
  <si>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</si>
  <si>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Colorado</t>
  </si>
  <si>
    <t>Comal</t>
  </si>
  <si>
    <t>Concho</t>
  </si>
  <si>
    <t>Cooke</t>
  </si>
  <si>
    <t>Coryell</t>
  </si>
  <si>
    <t>Cottle</t>
  </si>
  <si>
    <t>Crane</t>
  </si>
  <si>
    <t>Crosby</t>
  </si>
  <si>
    <t>Culberson</t>
  </si>
  <si>
    <t>Dallam</t>
  </si>
  <si>
    <t>Deaf Smith</t>
  </si>
  <si>
    <t>Denton</t>
  </si>
  <si>
    <t>DeWitt</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</si>
  <si>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</si>
  <si>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</si>
  <si>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</si>
  <si>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</si>
  <si>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</si>
  <si>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</si>
  <si>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</si>
  <si>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</si>
  <si>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</si>
  <si>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</si>
  <si>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</si>
  <si>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</si>
  <si>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</si>
  <si>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</si>
  <si>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</si>
  <si>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</si>
  <si>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</si>
  <si>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</si>
  <si>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</si>
  <si>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</si>
  <si>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</si>
  <si>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</si>
  <si>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</si>
  <si>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</si>
  <si>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</si>
  <si>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</si>
  <si>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</si>
  <si>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</si>
  <si>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</si>
  <si>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</si>
  <si>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</si>
  <si>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</si>
  <si>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</si>
  <si>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</si>
  <si>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</si>
  <si>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</si>
  <si>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</si>
  <si>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</si>
  <si>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</si>
  <si>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</si>
  <si>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</si>
  <si>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</si>
  <si>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</si>
  <si>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Lavaca</t>
  </si>
  <si>
    <t>Lipscomb</t>
  </si>
  <si>
    <t>Live Oak</t>
  </si>
  <si>
    <t>Llano</t>
  </si>
  <si>
    <t>Loving</t>
  </si>
  <si>
    <t>Lubbock</t>
  </si>
  <si>
    <t>Lynn</t>
  </si>
  <si>
    <t>McCulloch</t>
  </si>
  <si>
    <t>McLennan</t>
  </si>
  <si>
    <t>McMullen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</si>
  <si>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</si>
  <si>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</si>
  <si>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</si>
  <si>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</si>
  <si>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</si>
  <si>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</si>
  <si>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</si>
  <si>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</si>
  <si>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</si>
  <si>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</si>
  <si>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</si>
  <si>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</si>
  <si>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</si>
  <si>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</si>
  <si>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</si>
  <si>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</si>
  <si>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</si>
  <si>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</si>
  <si>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</si>
  <si>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Red River</t>
  </si>
  <si>
    <t>Reeves</t>
  </si>
  <si>
    <t>Refugio</t>
  </si>
  <si>
    <t>Rockwall</t>
  </si>
  <si>
    <t>Runnels</t>
  </si>
  <si>
    <t>Rusk</t>
  </si>
  <si>
    <t>Sabine</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</si>
  <si>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</si>
  <si>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</si>
  <si>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</si>
  <si>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</si>
  <si>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</si>
  <si>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</si>
  <si>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</si>
  <si>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</si>
  <si>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</si>
  <si>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</si>
  <si>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</si>
  <si>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</si>
  <si>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</si>
  <si>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</si>
  <si>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</si>
  <si>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</si>
  <si>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</si>
  <si>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</si>
  <si>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</si>
  <si>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</si>
  <si>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</si>
  <si>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</si>
  <si>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</si>
  <si>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</si>
  <si>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</si>
  <si>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</si>
  <si>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</si>
  <si>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</si>
  <si>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</si>
  <si>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</si>
  <si>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</si>
  <si>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</si>
  <si>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</si>
  <si>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</si>
  <si>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</si>
  <si>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</si>
  <si>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</si>
  <si>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Box Elder</t>
  </si>
  <si>
    <t>Cache</t>
  </si>
  <si>
    <t>Daggett</t>
  </si>
  <si>
    <t>Duchesne</t>
  </si>
  <si>
    <t>Emery</t>
  </si>
  <si>
    <t>Juab</t>
  </si>
  <si>
    <t>Millard</t>
  </si>
  <si>
    <t>Piute</t>
  </si>
  <si>
    <t>Rich</t>
  </si>
  <si>
    <t>Salt Lake</t>
  </si>
  <si>
    <t>Sanpete</t>
  </si>
  <si>
    <t>Tooele</t>
  </si>
  <si>
    <t>Uintah</t>
  </si>
  <si>
    <t>Utah</t>
  </si>
  <si>
    <t>Wasatch</t>
  </si>
  <si>
    <t>Weber</t>
  </si>
  <si>
    <t>Addison</t>
  </si>
  <si>
    <t>Bennington</t>
  </si>
  <si>
    <t>Caledonia</t>
  </si>
  <si>
    <t>Chittenden</t>
  </si>
  <si>
    <t>Grand Isle</t>
  </si>
  <si>
    <t>Lamoille</t>
  </si>
  <si>
    <t>Rutland</t>
  </si>
  <si>
    <t>Windsor</t>
  </si>
  <si>
    <t>Accomack</t>
  </si>
  <si>
    <t>Albemarle</t>
  </si>
  <si>
    <t>Amelia</t>
  </si>
  <si>
    <t>Amherst</t>
  </si>
  <si>
    <t>Appomattox</t>
  </si>
  <si>
    <t>Arlington</t>
  </si>
  <si>
    <t>Augusta</t>
  </si>
  <si>
    <t>Bland</t>
  </si>
  <si>
    <t>Botetourt</t>
  </si>
  <si>
    <t>Buckingham</t>
  </si>
  <si>
    <t>Charles City</t>
  </si>
  <si>
    <t>Culpeper</t>
  </si>
  <si>
    <t>Dickenson</t>
  </si>
  <si>
    <t>Dinwiddie</t>
  </si>
  <si>
    <t>Fairfax</t>
  </si>
  <si>
    <t>Fauquier</t>
  </si>
  <si>
    <t>Fluvanna</t>
  </si>
  <si>
    <t>Goochland</t>
  </si>
  <si>
    <t>Greensville</t>
  </si>
  <si>
    <t>Hanover</t>
  </si>
  <si>
    <t>Henrico</t>
  </si>
  <si>
    <t>Isle of Wight</t>
  </si>
  <si>
    <t>James City</t>
  </si>
  <si>
    <t>King and Queen</t>
  </si>
  <si>
    <t>King George</t>
  </si>
  <si>
    <t>King William</t>
  </si>
  <si>
    <t>Loudoun</t>
  </si>
  <si>
    <t>Lunenburg</t>
  </si>
  <si>
    <t>Mathews</t>
  </si>
  <si>
    <t>New Kent</t>
  </si>
  <si>
    <t>Nottoway</t>
  </si>
  <si>
    <t>Patrick</t>
  </si>
  <si>
    <t>Pittsylvania</t>
  </si>
  <si>
    <t>Powhatan</t>
  </si>
  <si>
    <t>Prince Edward</t>
  </si>
  <si>
    <t>Prince George</t>
  </si>
  <si>
    <t>Prince William</t>
  </si>
  <si>
    <t>Rappahannock</t>
  </si>
  <si>
    <t>Roanoke</t>
  </si>
  <si>
    <t>Rockbridge</t>
  </si>
  <si>
    <t>Shenandoah</t>
  </si>
  <si>
    <t>Smyth</t>
  </si>
  <si>
    <t>Southampton</t>
  </si>
  <si>
    <t>Spotsylvania</t>
  </si>
  <si>
    <t>Wythe</t>
  </si>
  <si>
    <t>Alexandria city</t>
  </si>
  <si>
    <t>Bedford city</t>
  </si>
  <si>
    <t>Bristol city</t>
  </si>
  <si>
    <t>Buena Vista city</t>
  </si>
  <si>
    <t>Charlottesville city</t>
  </si>
  <si>
    <t>Chesapeake city</t>
  </si>
  <si>
    <t>Clifton Forge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</si>
  <si>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</si>
  <si>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</si>
  <si>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</si>
  <si>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</si>
  <si>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</si>
  <si>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</si>
  <si>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</si>
  <si>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</si>
  <si>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</si>
  <si>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</si>
  <si>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</si>
  <si>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</si>
  <si>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</si>
  <si>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</si>
  <si>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</si>
  <si>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</si>
  <si>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</si>
  <si>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</si>
  <si>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</si>
  <si>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</si>
  <si>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</si>
  <si>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</si>
  <si>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</si>
  <si>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</si>
  <si>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</si>
  <si>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</si>
  <si>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</si>
  <si>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South Boston city</t>
  </si>
  <si>
    <t>Staunton city</t>
  </si>
  <si>
    <t>Suffolk city</t>
  </si>
  <si>
    <t>Virginia Beach city</t>
  </si>
  <si>
    <t>Waynesboro city</t>
  </si>
  <si>
    <t>Williamsburg city</t>
  </si>
  <si>
    <t>Winchester city</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</si>
  <si>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</si>
  <si>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</si>
  <si>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</si>
  <si>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</si>
  <si>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</si>
  <si>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</si>
  <si>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</si>
  <si>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</si>
  <si>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</si>
  <si>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</si>
  <si>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</si>
  <si>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</si>
  <si>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</si>
  <si>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</si>
  <si>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</si>
  <si>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</si>
  <si>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</si>
  <si>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</si>
  <si>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</si>
  <si>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</si>
  <si>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</si>
  <si>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</si>
  <si>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</si>
  <si>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</si>
  <si>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</si>
  <si>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</si>
  <si>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</si>
  <si>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</si>
  <si>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</si>
  <si>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</si>
  <si>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</si>
  <si>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</si>
  <si>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</si>
  <si>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</si>
  <si>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</si>
  <si>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</si>
  <si>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</si>
  <si>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</si>
  <si>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</si>
  <si>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Barron</t>
  </si>
  <si>
    <t>Bayfield</t>
  </si>
  <si>
    <t>Burnett</t>
  </si>
  <si>
    <t>Calumet</t>
  </si>
  <si>
    <t>Dane</t>
  </si>
  <si>
    <t>Door</t>
  </si>
  <si>
    <t>Eau Claire</t>
  </si>
  <si>
    <t>Fond du Lac</t>
  </si>
  <si>
    <t>Green Lake</t>
  </si>
  <si>
    <t>Juneau</t>
  </si>
  <si>
    <t>Kenosha</t>
  </si>
  <si>
    <t>Kewaunee</t>
  </si>
  <si>
    <t>La Crosse</t>
  </si>
  <si>
    <t>Langlade</t>
  </si>
  <si>
    <t>Manitowoc</t>
  </si>
  <si>
    <t>Marathon</t>
  </si>
  <si>
    <t>Marinette</t>
  </si>
  <si>
    <t>Milwaukee</t>
  </si>
  <si>
    <t>Oconto</t>
  </si>
  <si>
    <t>Outagamie</t>
  </si>
  <si>
    <t>Ozaukee</t>
  </si>
  <si>
    <t>Pepin</t>
  </si>
  <si>
    <t>Price</t>
  </si>
  <si>
    <t>Racine</t>
  </si>
  <si>
    <t>St. Croix</t>
  </si>
  <si>
    <t>Sauk</t>
  </si>
  <si>
    <t>Sawyer</t>
  </si>
  <si>
    <t>Shawano</t>
  </si>
  <si>
    <t>Sheboygan</t>
  </si>
  <si>
    <t>Trempealeau</t>
  </si>
  <si>
    <t>Vilas</t>
  </si>
  <si>
    <t>Washburn</t>
  </si>
  <si>
    <t>Waukesha</t>
  </si>
  <si>
    <t>Waupaca</t>
  </si>
  <si>
    <t>Waushara</t>
  </si>
  <si>
    <t>Converse</t>
  </si>
  <si>
    <t>Goshen</t>
  </si>
  <si>
    <t>Hot Springs</t>
  </si>
  <si>
    <t>Laramie</t>
  </si>
  <si>
    <t>Natrona</t>
  </si>
  <si>
    <t>Niobrara</t>
  </si>
  <si>
    <t>Sublette</t>
  </si>
  <si>
    <t>Sweetwater</t>
  </si>
  <si>
    <t>Uinta</t>
  </si>
  <si>
    <t>Washakie</t>
  </si>
  <si>
    <t>Weston</t>
  </si>
  <si>
    <t>Adjuntas</t>
  </si>
  <si>
    <t>Aguada</t>
  </si>
  <si>
    <t>Aguadilla</t>
  </si>
  <si>
    <t>Aguas Buenas</t>
  </si>
  <si>
    <t>Aibonito</t>
  </si>
  <si>
    <t>Anasco</t>
  </si>
  <si>
    <t>Arecibo</t>
  </si>
  <si>
    <t>Arroyo</t>
  </si>
  <si>
    <t>Barceloneta</t>
  </si>
  <si>
    <t>Barranquitas</t>
  </si>
  <si>
    <t>Bayamon</t>
  </si>
  <si>
    <t>Cabo Rojo</t>
  </si>
  <si>
    <t>Caguas</t>
  </si>
  <si>
    <t>Camuy</t>
  </si>
  <si>
    <t>Canovanas</t>
  </si>
  <si>
    <t>Carolina</t>
  </si>
  <si>
    <t>Catano</t>
  </si>
  <si>
    <t>Cayey</t>
  </si>
  <si>
    <t>Ceiba</t>
  </si>
  <si>
    <t>Ciales</t>
  </si>
  <si>
    <t>Cidra</t>
  </si>
  <si>
    <t>Coama</t>
  </si>
  <si>
    <t>Comerio</t>
  </si>
  <si>
    <t>Corozal</t>
  </si>
  <si>
    <t>Culebra</t>
  </si>
  <si>
    <t>Dorado</t>
  </si>
  <si>
    <t>Fajardo</t>
  </si>
  <si>
    <t>Florida</t>
  </si>
  <si>
    <t>Guanica</t>
  </si>
  <si>
    <t>Guayama</t>
  </si>
  <si>
    <t>Guayanilla</t>
  </si>
  <si>
    <t>Guaynabo</t>
  </si>
  <si>
    <t>Gurabo</t>
  </si>
  <si>
    <t>Hatillo</t>
  </si>
  <si>
    <t>Hormigueros</t>
  </si>
  <si>
    <t>Humacao</t>
  </si>
  <si>
    <t>Isabela</t>
  </si>
  <si>
    <t>Jayuya</t>
  </si>
  <si>
    <t>Juana Diaz</t>
  </si>
  <si>
    <t>Juncos</t>
  </si>
  <si>
    <t>Lajas</t>
  </si>
  <si>
    <t>Lares</t>
  </si>
  <si>
    <t>Las Marias</t>
  </si>
  <si>
    <t>Las Piedras</t>
  </si>
  <si>
    <t>Loiza</t>
  </si>
  <si>
    <t>Luquillo</t>
  </si>
  <si>
    <t>Manati</t>
  </si>
  <si>
    <t>Maricao</t>
  </si>
  <si>
    <t>Maunabo</t>
  </si>
  <si>
    <t>Mayaguez</t>
  </si>
  <si>
    <t>Moca</t>
  </si>
  <si>
    <t>Morovis</t>
  </si>
  <si>
    <t>Naguabo</t>
  </si>
  <si>
    <t>Naranjito</t>
  </si>
  <si>
    <t>Orocovis</t>
  </si>
  <si>
    <t>Patillas</t>
  </si>
  <si>
    <t>Penuelas</t>
  </si>
  <si>
    <t>Ponce</t>
  </si>
  <si>
    <t>Quebradillas</t>
  </si>
  <si>
    <t>Rincon</t>
  </si>
  <si>
    <t>Sabana Grande</t>
  </si>
  <si>
    <t>Salinas</t>
  </si>
  <si>
    <t>San German</t>
  </si>
  <si>
    <t>San Lorenzo</t>
  </si>
  <si>
    <t>San Sebastian</t>
  </si>
  <si>
    <t>Santa Isabel</t>
  </si>
  <si>
    <t>Toa Alta</t>
  </si>
  <si>
    <t>Toa Baja</t>
  </si>
  <si>
    <t>Trujillo Alto</t>
  </si>
  <si>
    <t>Utuado</t>
  </si>
  <si>
    <t>Vega Alta</t>
  </si>
  <si>
    <t>Vega Baja</t>
  </si>
  <si>
    <t>Vieques</t>
  </si>
  <si>
    <t>Villalba</t>
  </si>
  <si>
    <t>Yabucoa</t>
  </si>
  <si>
    <t>Yauco</t>
  </si>
  <si>
    <t>St Croix</t>
  </si>
  <si>
    <t>St John</t>
  </si>
  <si>
    <t>St Thomas</t>
  </si>
  <si>
    <t>Select State First</t>
  </si>
  <si>
    <t>$DB.LOOKUP.RANGE_LOOKUP_COUNTY_PLACEHOLDER</t>
  </si>
  <si>
    <t>COUNTY_PLACEHOLDER</t>
  </si>
  <si>
    <t xml:space="preserve">% Complete (Required Fields) </t>
  </si>
  <si>
    <t>SECTION_1_WARNING_COUNT</t>
  </si>
  <si>
    <t>SECTION_1_WARNING_FLAG</t>
  </si>
  <si>
    <t>SECTION_5_WARNING_COUNT</t>
  </si>
  <si>
    <t>SECTION_5_WARNING_FLAG</t>
  </si>
  <si>
    <t>SECTION_4_WARNING_COUNT</t>
  </si>
  <si>
    <t>SECTION_4_WARNING_FLAG</t>
  </si>
  <si>
    <t>SECTION_3_WARNING_COUNT</t>
  </si>
  <si>
    <t>SECTION_3_WARNING_FLAG</t>
  </si>
  <si>
    <t>SECTION_2_WARNING_COUNT</t>
  </si>
  <si>
    <t>SECTION_2_WARNING_FLAG</t>
  </si>
  <si>
    <t>TOTAL_WARNING_COUNT</t>
  </si>
  <si>
    <t>TOTAL_WARNING_FLAG</t>
  </si>
  <si>
    <t>TOTAL_WARNING_FLAG_ICON</t>
  </si>
  <si>
    <t>TOTAL_WARNING_MESSAGE</t>
  </si>
  <si>
    <t>APP SECTION</t>
  </si>
  <si>
    <t>SPEC_FIELD_ID</t>
  </si>
  <si>
    <t>WARNING_COUNT</t>
  </si>
  <si>
    <t>TOTAL_ERROR_COUNT</t>
  </si>
  <si>
    <t>ERROR_COUNT</t>
  </si>
  <si>
    <t>GU</t>
  </si>
  <si>
    <t>Guam</t>
  </si>
  <si>
    <t>TOC_ROW_START</t>
  </si>
  <si>
    <t>TOC_ROW_END_COL1</t>
  </si>
  <si>
    <t>TOC_ROW_COUNT_COL1</t>
  </si>
  <si>
    <t>AZ,CA</t>
  </si>
  <si>
    <t>Valid Entry</t>
  </si>
  <si>
    <t>Invalid Entry</t>
  </si>
  <si>
    <t>No Entry Required</t>
  </si>
  <si>
    <t>ZIP Code</t>
  </si>
  <si>
    <t>CHAR_LIMIT_TEMPLATE_ERR</t>
  </si>
  <si>
    <t>CHAR_LIMIT_TEMPLATE</t>
  </si>
  <si>
    <t>Narrative Limit Template</t>
  </si>
  <si>
    <t>Narrative Limit Template Error</t>
  </si>
  <si>
    <t>[diff] character(s) remaining</t>
  </si>
  <si>
    <t>options: diff, limit, used</t>
  </si>
  <si>
    <t>Error: [diff] character(s) over</t>
  </si>
  <si>
    <t>[used] of [limit] character(s) used</t>
  </si>
  <si>
    <t>WORKFLOW_START_W</t>
  </si>
  <si>
    <t>WORKFLOW_START_I</t>
  </si>
  <si>
    <t>TARGET_WISH_TOP</t>
  </si>
  <si>
    <t>TARGET_IDEA_TOP</t>
  </si>
  <si>
    <t>WISH Workflow - Start Screen</t>
  </si>
  <si>
    <t>IDEA Workflow - Start Screen</t>
  </si>
  <si>
    <t>Value Option</t>
  </si>
  <si>
    <t>Format Options</t>
  </si>
  <si>
    <t>eForm Maintenance Settings</t>
  </si>
  <si>
    <t>General Settings</t>
  </si>
  <si>
    <t>WISH App Page Title</t>
  </si>
  <si>
    <t>WISH Program</t>
  </si>
  <si>
    <t>IDEA App Page Title</t>
  </si>
  <si>
    <t>IDEA Program</t>
  </si>
  <si>
    <t>$DB.LOOKUP.RANGE_LOOKUP_MORTGAGETYPE</t>
  </si>
  <si>
    <t>Fixed</t>
  </si>
  <si>
    <t>ARM</t>
  </si>
  <si>
    <t>F</t>
  </si>
  <si>
    <t>A</t>
  </si>
  <si>
    <t>$DB.LOOKUP.RANGE_LOOKUP_PROGRAMTYPE</t>
  </si>
  <si>
    <t>FSS</t>
  </si>
  <si>
    <t>IDA</t>
  </si>
  <si>
    <t>Lease-to-Own</t>
  </si>
  <si>
    <t>W</t>
  </si>
  <si>
    <t>I</t>
  </si>
  <si>
    <t>PROGRAM TYPE</t>
  </si>
  <si>
    <t>PAGE_TITLE_WISH</t>
  </si>
  <si>
    <t>PAGE_TITLE_IDEA</t>
  </si>
  <si>
    <t>WISH</t>
  </si>
  <si>
    <t>IDEA</t>
  </si>
  <si>
    <t>SHEET_REF_WISH</t>
  </si>
  <si>
    <t>SHEET_REF_IDEA</t>
  </si>
  <si>
    <t>WISH, IDEA or Other</t>
  </si>
  <si>
    <t>FIRST_NAME</t>
  </si>
  <si>
    <t>Homebuyer Information - First Name</t>
  </si>
  <si>
    <t>HOMEBUYER INFORMATION</t>
  </si>
  <si>
    <t>LAST_NAME</t>
  </si>
  <si>
    <t>MIDDLE_NAME</t>
  </si>
  <si>
    <t>Homebuyer Information - Middle Name</t>
  </si>
  <si>
    <t>Homebuyer Information - Last Name</t>
  </si>
  <si>
    <t>HOMEOWNER_CONTRIBUTION_AMOUNT_1</t>
  </si>
  <si>
    <t>HOMEOWNER_CONTRIBUTION_AMOUNT</t>
  </si>
  <si>
    <t>Subtotal Line Item</t>
  </si>
  <si>
    <t>Total Line Item (Exported)</t>
  </si>
  <si>
    <t>HOMEOWNER_CONTRIBUTION_AMOUNT_2</t>
  </si>
  <si>
    <t>HOMEOWNER_CONTRIBUTION_AMOUNT_3</t>
  </si>
  <si>
    <t>REQUESTED_AMOUNT</t>
  </si>
  <si>
    <t>FIRST_SAVINGS_DEPOSIT_DATE</t>
  </si>
  <si>
    <t>FINAL_SAVINGS_DEPOSIT_DATE</t>
  </si>
  <si>
    <t>Subsidy Requested</t>
  </si>
  <si>
    <t>SAVINGS_PROGRAM</t>
  </si>
  <si>
    <t>SAVINGS_PROGRAM_DESC</t>
  </si>
  <si>
    <t>Code Value for Savings Program Type</t>
  </si>
  <si>
    <t>HOUSEHOLD_SIZE</t>
  </si>
  <si>
    <t>Household Size</t>
  </si>
  <si>
    <t>INCOME QUALIFICATION</t>
  </si>
  <si>
    <t>PROGRAM_ENROLLMENT_DATE</t>
  </si>
  <si>
    <t>WISH/IDEA Program Date of Enrollment</t>
  </si>
  <si>
    <t>WISH_TERM_LIMIT_YEARS</t>
  </si>
  <si>
    <t>WISH Enrollment to Closing Year Limit</t>
  </si>
  <si>
    <t>IDEA_TERM_LIMIT_YEARS</t>
  </si>
  <si>
    <t>IDEA Enrollment to Closing Year Limit</t>
  </si>
  <si>
    <t>HOUSEHOLD_INCOME_TO_AMI_RATIO</t>
  </si>
  <si>
    <t>Household Income to AMI Ratio</t>
  </si>
  <si>
    <t>INCOME_TO_AMI_LIMIT</t>
  </si>
  <si>
    <t>Income to AMI Limit</t>
  </si>
  <si>
    <t>QUALIFIED_YEAR</t>
  </si>
  <si>
    <t>Year of Income Qualification</t>
  </si>
  <si>
    <t>MBR_1ST_MORTGAGE_FLAG</t>
  </si>
  <si>
    <t>SINGLE_FAMILY_FLAG</t>
  </si>
  <si>
    <t>PURCHASE PROPERTY ADDRESS</t>
  </si>
  <si>
    <t>Single Family Home (1-4 Units) Flag</t>
  </si>
  <si>
    <t>MANUFACTURED_HOUSEING_FLG</t>
  </si>
  <si>
    <t>Manufactured Housing Flag</t>
  </si>
  <si>
    <t>PROPERTY_ADDRESS_1</t>
  </si>
  <si>
    <t>PROPERTY_ADDRESS_2</t>
  </si>
  <si>
    <t>PROPERTY_CITY</t>
  </si>
  <si>
    <t>PROPERTY_ZIP</t>
  </si>
  <si>
    <t>PROPERTY_STATE</t>
  </si>
  <si>
    <t>PROPERTY_COUNTY</t>
  </si>
  <si>
    <t>Purchase Property Address - Street</t>
  </si>
  <si>
    <t>Purchase Property Address - Street (Line 2)</t>
  </si>
  <si>
    <t>Purchase Property Address - City</t>
  </si>
  <si>
    <t>Purchase Property Address - Zip</t>
  </si>
  <si>
    <t>Purchase Property Address - State</t>
  </si>
  <si>
    <t>Purchase Property Address - County</t>
  </si>
  <si>
    <t>FIRST_MORTGAGE_LENDER</t>
  </si>
  <si>
    <t>FIRST_MORTGAGE_AMOUNT</t>
  </si>
  <si>
    <t>FIRST_MORTGAGE_RATE</t>
  </si>
  <si>
    <t>FIRST_MORTGAGE_APR</t>
  </si>
  <si>
    <t>FIRST_MORTGAGE_APR_EXPLANATION</t>
  </si>
  <si>
    <t>FIRST_MORTGAGE_TYPE</t>
  </si>
  <si>
    <t>FIRST_MORTGAGE_TERM</t>
  </si>
  <si>
    <t>HOEPA_FLAG_FIRST_MORTGAGE</t>
  </si>
  <si>
    <t>HOEPA_FIRST_MORTGAGE_EXPLANATION</t>
  </si>
  <si>
    <t>LOAN_CLOSING_DATE</t>
  </si>
  <si>
    <t>ESCROW_OPEN_DATE</t>
  </si>
  <si>
    <t>PROPERTY_PURCHASE_PRICE</t>
  </si>
  <si>
    <t>FHA_LOAN_FLAG</t>
  </si>
  <si>
    <t>HOUSING_EXPENSE_INCOME_RATIO</t>
  </si>
  <si>
    <t>HOUSING_EXPENSE_INCOME_RATIO_EXPLANATION</t>
  </si>
  <si>
    <t>SECOND_MTG_FLAG</t>
  </si>
  <si>
    <t>SECOND_MORTGAGE_LENDER</t>
  </si>
  <si>
    <t>SECOND_MORTGAGE_AMOUNT</t>
  </si>
  <si>
    <t>SECOND_MORTGAGE_RATE</t>
  </si>
  <si>
    <t>SECOND_MORTGAGE_APR</t>
  </si>
  <si>
    <t>SECOND_MORTGAGE_TYPE</t>
  </si>
  <si>
    <t>SECOND_MORTGAGE_TERM</t>
  </si>
  <si>
    <t>HOEPA_FLAG_SECOND_MORTGAGE</t>
  </si>
  <si>
    <t>HOEPA_SECOND_MORTGAGE_EXPLANATION</t>
  </si>
  <si>
    <t>APR_DIFF_THRESHOLD</t>
  </si>
  <si>
    <t>APR Difference Threshold Req. Explanation</t>
  </si>
  <si>
    <t>Member Originated First Mortgage</t>
  </si>
  <si>
    <t>First Mortgage Lender</t>
  </si>
  <si>
    <t>First Mortgage Amount</t>
  </si>
  <si>
    <t>First Mortgage Interest Rate</t>
  </si>
  <si>
    <t>First Mortgage APR</t>
  </si>
  <si>
    <t>First Mortgage APR Explanation</t>
  </si>
  <si>
    <t>First Mortgage Type</t>
  </si>
  <si>
    <t>First Mortgage Term (Months)</t>
  </si>
  <si>
    <t>HOEPA-Covered First Mortgage Loan Explanation</t>
  </si>
  <si>
    <t>HOEPA-Covered First Mortgage Loan Flag</t>
  </si>
  <si>
    <t>Loan Closing Date</t>
  </si>
  <si>
    <t>Date Escrow Opened</t>
  </si>
  <si>
    <t>Contract Sales Price</t>
  </si>
  <si>
    <t>FHA Loan Flag</t>
  </si>
  <si>
    <t>Housing Expense / Income Ratio</t>
  </si>
  <si>
    <t>HOUSING_EXP_RATIO_THRESHOLD</t>
  </si>
  <si>
    <t>Housing Expense Ratio Threshold Req. Explanation</t>
  </si>
  <si>
    <t>HOUSING_EXP_RATIO_LIMIT</t>
  </si>
  <si>
    <t>Housing Expense Ratio Max Limit</t>
  </si>
  <si>
    <t>Housing Expense / Income Ratio Explanation</t>
  </si>
  <si>
    <t>Second Mortgage Flag</t>
  </si>
  <si>
    <t>Second Mortgage Lender</t>
  </si>
  <si>
    <t>Second Mortgage Amount</t>
  </si>
  <si>
    <t>Second Mortgage Interest Rate</t>
  </si>
  <si>
    <t>Second Mortgage APR</t>
  </si>
  <si>
    <t>Second Mortgage Type</t>
  </si>
  <si>
    <t>Second Mortgage Term (Months)</t>
  </si>
  <si>
    <t>HOEPA-Covered Second Mortgage Loan Flag</t>
  </si>
  <si>
    <t>HOEPA-Covered Second Mortgage Loan Explanation</t>
  </si>
  <si>
    <t>SECOND_MTG_INT_RATE_FLOOR</t>
  </si>
  <si>
    <t>Second Mortgage Interest Rate Floor</t>
  </si>
  <si>
    <t>MORTGAGE INFORMATION</t>
  </si>
  <si>
    <t>Originally in Income Qual Section</t>
  </si>
  <si>
    <t>HOMEOWNER_CONTRIBUTION_DESC_1</t>
  </si>
  <si>
    <t>HOMEOWNER_CONTRIBUTION_DESC_2</t>
  </si>
  <si>
    <t>HOMEOWNER_CONTRIBUTION_DESC_3</t>
  </si>
  <si>
    <t>ADDED PER EMAIL ON 9/1</t>
  </si>
  <si>
    <t>OTHER_GRANTS_FLAG</t>
  </si>
  <si>
    <t>Other Grants or Soft Loans Flag</t>
  </si>
  <si>
    <t>GRANT_SOURCE_1</t>
  </si>
  <si>
    <t>GRANT_SOURCE_2</t>
  </si>
  <si>
    <t>GRANT_SOURCE_3</t>
  </si>
  <si>
    <t>GRANT_SOURCE_4</t>
  </si>
  <si>
    <t>GRANT_SOURCE</t>
  </si>
  <si>
    <t>GRANT_AMOUNT_1</t>
  </si>
  <si>
    <t>GRANT_AMOUNT_2</t>
  </si>
  <si>
    <t>GRANT_AMOUNT_3</t>
  </si>
  <si>
    <t>GRANT_AMOUNT_4</t>
  </si>
  <si>
    <t>GRANT_AMOUNT</t>
  </si>
  <si>
    <t>Grant Amount - Total</t>
  </si>
  <si>
    <t>Grant Source - Consolidated (CSV)</t>
  </si>
  <si>
    <t>Grant Amount #1</t>
  </si>
  <si>
    <t>Grant Amount #2</t>
  </si>
  <si>
    <t>Grant Amount #3</t>
  </si>
  <si>
    <t>Grant Amount #4</t>
  </si>
  <si>
    <t>Grant Source #1</t>
  </si>
  <si>
    <t>Grant Source #2</t>
  </si>
  <si>
    <t>Grant Source #3</t>
  </si>
  <si>
    <t>Grant Source #4</t>
  </si>
  <si>
    <t>WISH &amp; IDEA Page Banner Title</t>
  </si>
  <si>
    <t>OTHER GRANTS OR MORTGAGE ASSISTANCE</t>
  </si>
  <si>
    <t>Homebuyer Information</t>
  </si>
  <si>
    <t>Section</t>
  </si>
  <si>
    <t>Progress</t>
  </si>
  <si>
    <t>Income Qualification</t>
  </si>
  <si>
    <t>Mortgage Information</t>
  </si>
  <si>
    <t>Other Grants or Mortgage Assistance</t>
  </si>
  <si>
    <t>Homebuyer First Name</t>
  </si>
  <si>
    <t>HOMEBUYER_NAME_FULL</t>
  </si>
  <si>
    <t>Homebuyer Information - Full Name (for display only)</t>
  </si>
  <si>
    <t>ADDED TO SHOW FULL NAME IN HEADER</t>
  </si>
  <si>
    <t>Source of Contribution</t>
  </si>
  <si>
    <t>Contribution Amount</t>
  </si>
  <si>
    <t>Total Homebuyer Contribution</t>
  </si>
  <si>
    <t>Address Line 2 (Apartment, Suite, Unit, etc.)</t>
  </si>
  <si>
    <t>Year of Income Qualification (Year should be the HUD FY Income Limits)</t>
  </si>
  <si>
    <t>Homebuyer Contribution Amount (Total)</t>
  </si>
  <si>
    <t>Date of First Deposit (IDEA Only)</t>
  </si>
  <si>
    <t>Date of Final Deposit (IDEA Only)</t>
  </si>
  <si>
    <t>Savings Program (IDEA Only)</t>
  </si>
  <si>
    <t>Savings Program - Description (IDEA Only)</t>
  </si>
  <si>
    <t>Homebuyer Contribution Description #1</t>
  </si>
  <si>
    <t>Homebuyer Contribution Description #2</t>
  </si>
  <si>
    <t>Homebuyer Contribution Description #3</t>
  </si>
  <si>
    <t>Homebuyer Contribution Amount #1</t>
  </si>
  <si>
    <t>Homebuyer Contribution Amount #2</t>
  </si>
  <si>
    <t>Homebuyer Contribution Amount #3</t>
  </si>
  <si>
    <t>First Mortgage</t>
  </si>
  <si>
    <t>Amount</t>
  </si>
  <si>
    <t>Interest Rate</t>
  </si>
  <si>
    <r>
      <t>APR</t>
    </r>
    <r>
      <rPr>
        <vertAlign val="superscript"/>
        <sz val="10"/>
        <color theme="1"/>
        <rFont val="Arial"/>
        <family val="2"/>
      </rPr>
      <t>4</t>
    </r>
  </si>
  <si>
    <t>Mortgage Type</t>
  </si>
  <si>
    <t>Term (Months)</t>
  </si>
  <si>
    <t>Name of Grant or Soft Loan</t>
  </si>
  <si>
    <t>Grant or Soft Loan Amount</t>
  </si>
  <si>
    <t>Instructions</t>
  </si>
  <si>
    <t>Input Field Legend</t>
  </si>
  <si>
    <t>EFORM_VERSiON_DISP</t>
  </si>
  <si>
    <t>eForm Version Display (Calculated)</t>
  </si>
  <si>
    <t>Subsidy Request Limit*</t>
  </si>
  <si>
    <t>Minimum Savings Period (Months) (IDEA Only)</t>
  </si>
  <si>
    <t>IDEA_SAVINGS_MONTH_MIN</t>
  </si>
  <si>
    <t>IDEA Savings Months Minimum</t>
  </si>
  <si>
    <t>Maximum Enrollment to Closing Date (Years) (WISH)</t>
  </si>
  <si>
    <t>Maximum Enrollment to Closing Date (Years) (IDEA)</t>
  </si>
  <si>
    <t>* Values are shown for reference only; modifying these values requires developer updates to the eForm.</t>
  </si>
  <si>
    <t>First Mortgage APR Explanation Threshold</t>
  </si>
  <si>
    <t>Maximum Income to AMI Ratio*</t>
  </si>
  <si>
    <t>Housing Expense to Income Ratio Explanation Threshold</t>
  </si>
  <si>
    <t>Maximum Housing Expense to Income Ratio*</t>
  </si>
  <si>
    <t>Certification and Disbursement Request Attachment 1</t>
  </si>
  <si>
    <t>HOMEBUYER_2_FIRST_NAME</t>
  </si>
  <si>
    <t>HOMEBUYER_2_MIDDLE_NAME</t>
  </si>
  <si>
    <t>HOMEBUYER_2_LAST_NAME</t>
  </si>
  <si>
    <t>Homebuyer Information - Second Homebuyer - First Name</t>
  </si>
  <si>
    <t>Homebuyer Information - Second Homebuyer - Middle Name</t>
  </si>
  <si>
    <t>Homebuyer Information - Second Homebuyer - Last Name</t>
  </si>
  <si>
    <t>ADDED PER EMAIL ON 10/6</t>
  </si>
  <si>
    <t>Middle Name</t>
  </si>
  <si>
    <t>Last Name</t>
  </si>
  <si>
    <t>Second Homebuyer First Name</t>
  </si>
  <si>
    <t>FIRST_MORTGAGE_APR_EXPLANATION_PRESET</t>
  </si>
  <si>
    <t>First Mortgage APR Explanation - Preset (Dropdown Selection)</t>
  </si>
  <si>
    <t>FIRST_MORTGAGE_APR_EXPLANATION_OTHER</t>
  </si>
  <si>
    <t>$DB.LOOKUP.RANGE_LOOKUP_FIRSTMTG_EXPLANATION</t>
  </si>
  <si>
    <t>MIP</t>
  </si>
  <si>
    <t>Other (Describe Below)</t>
  </si>
  <si>
    <t>OTHER</t>
  </si>
  <si>
    <t>First Mortgage APR Explanation - Description (if Other Selected)</t>
  </si>
  <si>
    <t>2018ADD</t>
  </si>
  <si>
    <t>Allows preset reasons to select</t>
  </si>
  <si>
    <t>Allows 'Other' to be defined if no preset match</t>
  </si>
  <si>
    <t>Homebuyer paid Mortgage Insurance Premiums</t>
  </si>
  <si>
    <t>REMOVED DEC 2021; V2.0.0</t>
  </si>
  <si>
    <r>
      <t>Housing Expense/Income Ratio</t>
    </r>
    <r>
      <rPr>
        <vertAlign val="superscript"/>
        <sz val="10"/>
        <color theme="1"/>
        <rFont val="Arial"/>
        <family val="2"/>
      </rPr>
      <t>5</t>
    </r>
  </si>
  <si>
    <t>Purchase Property Address</t>
  </si>
  <si>
    <t>Homebuyer Contribution ($10,000 minimum required):</t>
  </si>
  <si>
    <r>
      <rPr>
        <i/>
        <vertAlign val="superscript"/>
        <sz val="10"/>
        <color theme="1"/>
        <rFont val="Arial"/>
        <family val="2"/>
      </rPr>
      <t>5</t>
    </r>
    <r>
      <rPr>
        <i/>
        <sz val="10"/>
        <color theme="1"/>
        <rFont val="Arial"/>
        <family val="2"/>
      </rPr>
      <t xml:space="preserve"> Housing Expense = Principal, Interest, Taxes, Insurance (PITI)
   Housing Expense/Income Ratio as stated on the Fannie Mae form 1008 (or equivalent). </t>
    </r>
  </si>
  <si>
    <t>MDPA Program</t>
  </si>
  <si>
    <r>
      <t>MDPA Subsidy Requested</t>
    </r>
    <r>
      <rPr>
        <vertAlign val="superscript"/>
        <sz val="10"/>
        <color theme="1"/>
        <rFont val="Arial"/>
        <family val="2"/>
      </rPr>
      <t>1</t>
    </r>
  </si>
  <si>
    <r>
      <rPr>
        <i/>
        <vertAlign val="superscript"/>
        <sz val="10"/>
        <color theme="1"/>
        <rFont val="Arial"/>
        <family val="2"/>
      </rPr>
      <t>1</t>
    </r>
    <r>
      <rPr>
        <i/>
        <sz val="10"/>
        <color theme="1"/>
        <rFont val="Arial"/>
        <family val="2"/>
      </rPr>
      <t xml:space="preserve"> </t>
    </r>
    <r>
      <rPr>
        <i/>
        <sz val="9"/>
        <color theme="1"/>
        <rFont val="Arial"/>
        <family val="2"/>
      </rPr>
      <t>Funds may be used only for downpayment and/or reasonable and customary closing costs. MDPA subsidy requested cannot exceed $50,000 for each homebuyer.</t>
    </r>
  </si>
  <si>
    <t>Are there other grants or soft loans (other than MDPA) in the transaction?</t>
  </si>
  <si>
    <t>MSA</t>
  </si>
  <si>
    <t>HUD</t>
  </si>
  <si>
    <t>State</t>
  </si>
  <si>
    <t>County</t>
  </si>
  <si>
    <t>HUD 100% AMI Limit of Purchase Property Adjusted for Household Size</t>
  </si>
  <si>
    <t>HOUSEHOLD_INCOME_AT_ENROLLMENT</t>
  </si>
  <si>
    <t>Household Annual Income ("Total Income" from Fannie Mae Form 1008 or equivalent)</t>
  </si>
  <si>
    <t>MSA Name of Purchase Property</t>
  </si>
  <si>
    <t>HLBSF Add, Wired into $DB.DATA 4/24</t>
  </si>
  <si>
    <t>Household Income at Enrollment</t>
  </si>
  <si>
    <t>MSA of Purchase Property</t>
  </si>
  <si>
    <t>HUD 100% AMI Limit for Household Size</t>
  </si>
  <si>
    <t>INCOME_TO_AMI_FLOOR</t>
  </si>
  <si>
    <t>Income to AMI Floor</t>
  </si>
  <si>
    <t>Minimum Income to AMI Ratio*</t>
  </si>
  <si>
    <t>HOMEBUYER_1_ETHNICITY</t>
  </si>
  <si>
    <t>HOMEBUYER_1_RACE_AIAN_FLAG</t>
  </si>
  <si>
    <t>HOMEBUYER_1_RACE_A_FLAG</t>
  </si>
  <si>
    <t>HOMEBUYER_1_RACE_BAA_FLAG</t>
  </si>
  <si>
    <t>HOMEBUYER_1_RACE_NHOPI_FLAG</t>
  </si>
  <si>
    <t>HOMEBUYER_1_RACE_W_FLAG</t>
  </si>
  <si>
    <t>HOMEBUYER_1_NA_FLAG</t>
  </si>
  <si>
    <t>HOMEBUYER_1_RACE_CSV_LIST</t>
  </si>
  <si>
    <t>HOMEBUYER_2_ETHNICITY</t>
  </si>
  <si>
    <t>HOMEBUYER_2_RACE_AIAN_FLAG</t>
  </si>
  <si>
    <t>HOMEBUYER_2_RACE_A_FLAG</t>
  </si>
  <si>
    <t>HOMEBUYER_2_RACE_BAA_FLAG</t>
  </si>
  <si>
    <t>HOMEBUYER_2_RACE_NHOPI_FLAG</t>
  </si>
  <si>
    <t>HOMEBUYER_2_RACE_W_FLAG</t>
  </si>
  <si>
    <t>HOMEBUYER_2_NA_FLAG</t>
  </si>
  <si>
    <t>HOMEBUYER_2_RACE_CSV_LIST</t>
  </si>
  <si>
    <t>$DB.LOOKUP.RANGE_LOOKUP_ETHNICITY</t>
  </si>
  <si>
    <t>Hispanic or Latino</t>
  </si>
  <si>
    <t>HL</t>
  </si>
  <si>
    <t>Not Hispanic or Latino</t>
  </si>
  <si>
    <t>NHL</t>
  </si>
  <si>
    <t>I do not wish to provide this information</t>
  </si>
  <si>
    <t>NA</t>
  </si>
  <si>
    <t>Primary Homebuyer Ethnicity</t>
  </si>
  <si>
    <t>HOMEBUYER DEMOGRAPHIC INFORMATION</t>
  </si>
  <si>
    <t>ADDED PER REQUIREMENTS MAY2024</t>
  </si>
  <si>
    <t>HOMEBUYER_1_ETHNICITY_CODE</t>
  </si>
  <si>
    <t>Primary Homebuyer Ethnicity Code</t>
  </si>
  <si>
    <t>HOMEBUYER_2_ETHNICITY_CODE</t>
  </si>
  <si>
    <t>Primary Homebuyer Race Flag (AIAN)</t>
  </si>
  <si>
    <t>Primary Homebuyer Race Flag (A)</t>
  </si>
  <si>
    <t>Primary Homebuyer Race Flag (BAA)</t>
  </si>
  <si>
    <t>Primary Homebuyer Race Flag (NHOPI)</t>
  </si>
  <si>
    <t>Primary Homebuyer Race Flag (W)</t>
  </si>
  <si>
    <t>Primary Homebuyer Race Flag (NA)</t>
  </si>
  <si>
    <t>Primary Homebuyer Race (CSV List, Consolidated)</t>
  </si>
  <si>
    <t>Second Homebuyer Ethnicity</t>
  </si>
  <si>
    <t>Second Homebuyer Ethnicity Code</t>
  </si>
  <si>
    <t>Second Homebuyer Race Flag (AIAN)</t>
  </si>
  <si>
    <t>Second Homebuyer Race Flag (A)</t>
  </si>
  <si>
    <t>Second Homebuyer Race Flag (BAA)</t>
  </si>
  <si>
    <t>Second Homebuyer Race Flag (NHOPI)</t>
  </si>
  <si>
    <t>Second Homebuyer Race Flag (W)</t>
  </si>
  <si>
    <t>Second Homebuyer Race Flag (NA)</t>
  </si>
  <si>
    <t>Second Homebuyer Race (CSV List, Consolidated)</t>
  </si>
  <si>
    <r>
      <rPr>
        <i/>
        <vertAlign val="superscript"/>
        <sz val="10"/>
        <color theme="1"/>
        <rFont val="Arial"/>
        <family val="2"/>
      </rPr>
      <t>4</t>
    </r>
    <r>
      <rPr>
        <i/>
        <sz val="10"/>
        <color theme="1"/>
        <rFont val="Arial"/>
        <family val="2"/>
      </rPr>
      <t xml:space="preserve"> </t>
    </r>
    <r>
      <rPr>
        <i/>
        <sz val="9"/>
        <color theme="1"/>
        <rFont val="Arial"/>
        <family val="2"/>
      </rPr>
      <t>Annual Percentage Rate as disclosed on the Final Closing Disclosure.</t>
    </r>
  </si>
  <si>
    <t>4.0.2</t>
  </si>
  <si>
    <t>In addition to completing this form, please include the following documentation with your submission:
- Fannie Mae Uniform Underwriting and Transmittal Summary (Form 1008) or equivalent
- Final Closing Disclosure
- Certificate of completion of homebuyer counseling program
Disbursement requests must be received by the Bank within thirty (30) days of the date that the homebuyer closes on the purchase transaction. Any outstanding documentation for the submitted disbursement request must be received by the Bank within sixty (60) days from the date the Bank receives the disbursement request. If the member does not comply with these deadlines, the Bank reserves the right to decline the reimbursement of subsidy to the member.</t>
  </si>
  <si>
    <t>Household's Income as Percentage of AMI (Must be between 80.01% and 140%. 
              Households earning 80% or below are eligible IF obtaining an FHA loan)</t>
  </si>
  <si>
    <t>FHA Loan (FHA loan is required for households earning 80% AMI or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</si>
</sst>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
    <numFmt numFmtId="165" formatCode="0000"/>
    <numFmt numFmtId="166" formatCode="&quot;$&quot;#,##0.00"/>
    <numFmt numFmtId="167" formatCode="0.000%"/>
  </numFmts>
  <fonts count="46" x14ac:knownFonts="1">
    <font>
      <sz val="11"/>
      <color theme="1"/>
      <name val="Calibri"/>
      <family val="2"/>
      <scheme val="minor"/>
    </font>
    <font>
      <sz val="11"/>
      <color theme="1"/>
      <name val="Calibri"/>
      <family val="2"/>
      <scheme val="minor"/>
    </font>
    <font>
      <sz val="10"/>
      <color theme="1"/>
      <name val="Calibri"/>
      <family val="2"/>
      <scheme val="minor"/>
    </font>
    <font>
      <sz val="9"/>
      <color indexed="81"/>
      <name val="Tahoma"/>
      <family val="2"/>
    </font>
    <font>
      <b/>
      <sz val="9"/>
      <color indexed="81"/>
      <name val="Tahoma"/>
      <family val="2"/>
    </font>
    <font>
      <b/>
      <sz val="10"/>
      <color theme="1"/>
      <name val="Calibri"/>
      <family val="2"/>
      <scheme val="minor"/>
    </font>
    <font>
      <i/>
      <sz val="10"/>
      <color theme="1"/>
      <name val="Calibri"/>
      <family val="2"/>
      <scheme val="minor"/>
    </font>
    <font>
      <b/>
      <sz val="10"/>
      <color theme="0"/>
      <name val="Calibri"/>
      <family val="2"/>
      <scheme val="minor"/>
    </font>
    <font>
      <sz val="10"/>
      <color theme="1"/>
      <name val="Calibri"/>
      <family val="2"/>
      <scheme val="minor"/>
    </font>
    <font>
      <b/>
      <sz val="11"/>
      <color theme="0"/>
      <name val="Calibri"/>
      <family val="2"/>
      <scheme val="minor"/>
    </font>
    <font>
      <sz val="10"/>
      <name val="Arial"/>
      <family val="2"/>
    </font>
    <font>
      <sz val="11"/>
      <color theme="1"/>
      <name val="Arial"/>
      <family val="2"/>
    </font>
    <font>
      <i/>
      <sz val="9"/>
      <color theme="1"/>
      <name val="Arial"/>
      <family val="2"/>
    </font>
    <font>
      <b/>
      <sz val="11"/>
      <color theme="0"/>
      <name val="Arial"/>
      <family val="2"/>
    </font>
    <font>
      <sz val="9"/>
      <color theme="1"/>
      <name val="Arial"/>
      <family val="2"/>
    </font>
    <font>
      <sz val="10"/>
      <color theme="1"/>
      <name val="Arial"/>
      <family val="2"/>
    </font>
    <font>
      <b/>
      <sz val="10"/>
      <color theme="1"/>
      <name val="Arial"/>
      <family val="2"/>
    </font>
    <font>
      <b/>
      <sz val="9"/>
      <color theme="1"/>
      <name val="Arial"/>
      <family val="2"/>
    </font>
    <font>
      <sz val="8"/>
      <color theme="1"/>
      <name val="Arial"/>
      <family val="2"/>
    </font>
    <font>
      <b/>
      <sz val="11"/>
      <color theme="1"/>
      <name val="Arial"/>
      <family val="2"/>
    </font>
    <font>
      <b/>
      <sz val="12"/>
      <color theme="1"/>
      <name val="Arial"/>
      <family val="2"/>
    </font>
    <font>
      <b/>
      <i/>
      <sz val="9"/>
      <color theme="1"/>
      <name val="Arial"/>
      <family val="2"/>
    </font>
    <font>
      <i/>
      <sz val="10"/>
      <color theme="1"/>
      <name val="Arial"/>
      <family val="2"/>
    </font>
    <font>
      <b/>
      <u/>
      <sz val="10"/>
      <color theme="1"/>
      <name val="Arial"/>
      <family val="2"/>
    </font>
    <font>
      <b/>
      <sz val="9"/>
      <color rgb="FFFF0000"/>
      <name val="Arial"/>
      <family val="2"/>
    </font>
    <font>
      <b/>
      <u/>
      <sz val="9"/>
      <color theme="4" tint="-0.249977111117893"/>
      <name val="Arial"/>
      <family val="2"/>
    </font>
    <font>
      <b/>
      <sz val="8"/>
      <color theme="1"/>
      <name val="Arial"/>
      <family val="2"/>
    </font>
    <font>
      <b/>
      <sz val="8"/>
      <name val="Arial"/>
      <family val="2"/>
    </font>
    <font>
      <i/>
      <sz val="8"/>
      <color theme="1"/>
      <name val="Arial"/>
      <family val="2"/>
    </font>
    <font>
      <sz val="8"/>
      <name val="Arial"/>
      <family val="2"/>
    </font>
    <font>
      <sz val="10"/>
      <color rgb="FFFF0000"/>
      <name val="Arial"/>
      <family val="2"/>
    </font>
    <font>
      <b/>
      <i/>
      <sz val="8"/>
      <name val="Arial"/>
      <family val="2"/>
    </font>
    <font>
      <b/>
      <i/>
      <sz val="8"/>
      <color theme="1"/>
      <name val="Arial"/>
      <family val="2"/>
    </font>
    <font>
      <b/>
      <u/>
      <sz val="8"/>
      <color theme="4" tint="-0.249977111117893"/>
      <name val="Arial"/>
      <family val="2"/>
    </font>
    <font>
      <u/>
      <sz val="10"/>
      <color theme="1"/>
      <name val="Calibri"/>
      <family val="2"/>
      <scheme val="minor"/>
    </font>
    <font>
      <sz val="10"/>
      <color theme="1"/>
      <name val="Calibri"/>
      <family val="2"/>
      <scheme val="minor"/>
    </font>
    <font>
      <b/>
      <sz val="11"/>
      <color theme="0"/>
      <name val="Calibri"/>
      <family val="2"/>
      <scheme val="minor"/>
    </font>
    <font>
      <vertAlign val="superscript"/>
      <sz val="10"/>
      <color theme="1"/>
      <name val="Arial"/>
      <family val="2"/>
    </font>
    <font>
      <b/>
      <sz val="10"/>
      <color rgb="FFFF0000"/>
      <name val="Arial"/>
      <family val="2"/>
    </font>
    <font>
      <i/>
      <vertAlign val="superscript"/>
      <sz val="10"/>
      <color theme="1"/>
      <name val="Arial"/>
      <family val="2"/>
    </font>
    <font>
      <sz val="10"/>
      <color theme="0"/>
      <name val="Calibri"/>
      <family val="2"/>
      <scheme val="minor"/>
    </font>
    <font>
      <i/>
      <sz val="8"/>
      <color theme="0"/>
      <name val="Arial"/>
      <family val="2"/>
    </font>
    <font>
      <b/>
      <sz val="11"/>
      <color theme="0"/>
      <name val="Calibri"/>
      <family val="2"/>
      <scheme val="minor"/>
    </font>
    <font>
      <sz val="10"/>
      <color theme="0"/>
      <name val="Arial"/>
      <family val="2"/>
    </font>
    <font>
      <sz val="10"/>
      <color theme="1"/>
      <name val="Calibri"/>
      <family val="2"/>
      <scheme val="minor"/>
    </font>
    <font>
      <b/>
      <sz val="11"/>
      <color rgb="FFFF0000"/>
      <name val="Arial"/>
      <family val="2"/>
    </font>
  </fonts>
  <fills count="20">
    <fill>
      <patternFill patternType="none"/>
    </fill>
    <fill>
      <patternFill patternType="gray125"/>
    </fill>
    <fill>
      <patternFill patternType="solid">
        <fgColor rgb="FFFFFFCC"/>
        <bgColor indexed="64"/>
      </patternFill>
    </fill>
    <fill>
      <patternFill patternType="solid">
        <fgColor theme="5"/>
        <bgColor theme="5"/>
      </patternFill>
    </fill>
    <fill>
      <patternFill patternType="solid">
        <fgColor theme="5" tint="0.59999389629810485"/>
        <bgColor theme="5" tint="0.59999389629810485"/>
      </patternFill>
    </fill>
    <fill>
      <patternFill patternType="solid">
        <fgColor theme="5" tint="0.79998168889431442"/>
        <bgColor theme="5" tint="0.79998168889431442"/>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lightUp">
        <fgColor theme="0" tint="-0.24994659260841701"/>
        <bgColor theme="0" tint="-0.14996795556505021"/>
      </patternFill>
    </fill>
    <fill>
      <patternFill patternType="solid">
        <fgColor rgb="FFFFFF00"/>
        <bgColor indexed="64"/>
      </patternFill>
    </fill>
    <fill>
      <patternFill patternType="solid">
        <fgColor theme="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ck">
        <color theme="0"/>
      </bottom>
      <diagonal/>
    </border>
    <border>
      <left/>
      <right/>
      <top/>
      <bottom style="thin">
        <color theme="0"/>
      </bottom>
      <diagonal/>
    </border>
    <border>
      <left/>
      <right/>
      <top/>
      <bottom style="thin">
        <color theme="9" tint="0.39997558519241921"/>
      </bottom>
      <diagonal/>
    </border>
    <border>
      <left/>
      <right/>
      <top style="thin">
        <color indexed="64"/>
      </top>
      <bottom/>
      <diagonal/>
    </border>
    <border>
      <left/>
      <right style="thin">
        <color theme="0"/>
      </right>
      <top/>
      <bottom style="thick">
        <color theme="0"/>
      </bottom>
      <diagonal/>
    </border>
    <border>
      <left/>
      <right style="thin">
        <color theme="0"/>
      </right>
      <top/>
      <bottom style="thin">
        <color theme="0"/>
      </bottom>
      <diagonal/>
    </border>
    <border>
      <left/>
      <right style="thin">
        <color indexed="64"/>
      </right>
      <top style="thin">
        <color indexed="64"/>
      </top>
      <bottom/>
      <diagonal/>
    </border>
    <border>
      <left/>
      <right/>
      <top/>
      <bottom style="medium">
        <color indexed="64"/>
      </bottom>
      <diagonal/>
    </border>
    <border>
      <left/>
      <right/>
      <top/>
      <bottom style="medium">
        <color rgb="FF00305E"/>
      </bottom>
      <diagonal/>
    </border>
    <border>
      <left/>
      <right/>
      <top/>
      <bottom style="thin">
        <color rgb="FF00305E"/>
      </bottom>
      <diagonal/>
    </border>
    <border>
      <left style="thin">
        <color rgb="FF00305E"/>
      </left>
      <right style="thin">
        <color rgb="FF00305E"/>
      </right>
      <top style="thin">
        <color rgb="FF00305E"/>
      </top>
      <bottom style="thin">
        <color rgb="FF00305E"/>
      </bottom>
      <diagonal/>
    </border>
    <border>
      <left/>
      <right style="thin">
        <color theme="0"/>
      </right>
      <top/>
      <bottom/>
      <diagonal/>
    </border>
    <border>
      <left/>
      <right style="thin">
        <color theme="0"/>
      </right>
      <top style="thin">
        <color theme="0"/>
      </top>
      <bottom style="thin">
        <color theme="0"/>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305E"/>
      </left>
      <right/>
      <top style="thin">
        <color rgb="FF00305E"/>
      </top>
      <bottom style="thin">
        <color rgb="FF00305E"/>
      </bottom>
      <diagonal/>
    </border>
    <border>
      <left/>
      <right/>
      <top style="thin">
        <color rgb="FF00305E"/>
      </top>
      <bottom style="thin">
        <color rgb="FF00305E"/>
      </bottom>
      <diagonal/>
    </border>
    <border>
      <left/>
      <right style="thin">
        <color rgb="FF00305E"/>
      </right>
      <top style="thin">
        <color rgb="FF00305E"/>
      </top>
      <bottom style="thin">
        <color rgb="FF00305E"/>
      </bottom>
      <diagonal/>
    </border>
    <border>
      <left style="thin">
        <color indexed="64"/>
      </left>
      <right/>
      <top/>
      <bottom/>
      <diagonal/>
    </border>
  </borders>
  <cellStyleXfs count="7">
    <xf numFmtId="0" fontId="0" fillId="0" borderId="0"/>
    <xf numFmtId="9" fontId="1" fillId="0" borderId="0" applyFont="0" applyFill="0" applyBorder="0" applyAlignment="0" applyProtection="0"/>
    <xf numFmtId="0" fontId="10" fillId="0" borderId="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3" fontId="1" fillId="0" borderId="0" applyFont="0" applyFill="0" applyBorder="0" applyAlignment="0" applyProtection="0"/>
  </cellStyleXfs>
  <cellXfs count="238">
    <xf numFmtId="0" fontId="0" fillId="0" borderId="0" xfId="0"/>
    <xf numFmtId="0" fontId="2" fillId="0" borderId="0" xfId="0" applyFont="1"/>
    <xf numFmtId="0" fontId="2" fillId="0" borderId="0" xfId="0" applyFont="1" applyAlignment="1">
      <alignment horizontal="left"/>
    </xf>
    <xf numFmtId="0" fontId="5" fillId="0" borderId="0" xfId="0" applyFont="1"/>
    <xf numFmtId="0" fontId="6" fillId="0" borderId="0" xfId="0" applyFont="1"/>
    <xf numFmtId="0" fontId="5" fillId="0" borderId="0" xfId="0" applyFont="1" applyAlignment="1">
      <alignment horizontal="left"/>
    </xf>
    <xf numFmtId="14" fontId="2" fillId="0" borderId="0" xfId="0" applyNumberFormat="1" applyFont="1" applyAlignment="1">
      <alignment horizontal="left"/>
    </xf>
    <xf numFmtId="0" fontId="6" fillId="0" borderId="0" xfId="0" quotePrefix="1" applyFont="1" applyAlignment="1">
      <alignment horizontal="center"/>
    </xf>
    <xf numFmtId="0" fontId="7" fillId="3" borderId="6" xfId="0" applyFont="1" applyFill="1" applyBorder="1"/>
    <xf numFmtId="0" fontId="8" fillId="0" borderId="0" xfId="0" applyFont="1"/>
    <xf numFmtId="0" fontId="8" fillId="0" borderId="0" xfId="0" applyFont="1" applyAlignment="1">
      <alignment horizontal="left"/>
    </xf>
    <xf numFmtId="0" fontId="2" fillId="0" borderId="0" xfId="0" applyFont="1" applyAlignment="1">
      <alignment horizontal="center"/>
    </xf>
    <xf numFmtId="0" fontId="8" fillId="0" borderId="0" xfId="0" applyFont="1" applyAlignment="1">
      <alignment horizontal="center"/>
    </xf>
    <xf numFmtId="0" fontId="2" fillId="8" borderId="0" xfId="0" applyFont="1" applyFill="1"/>
    <xf numFmtId="0" fontId="2" fillId="9" borderId="0" xfId="0" applyFont="1" applyFill="1" applyAlignment="1">
      <alignment horizontal="left"/>
    </xf>
    <xf numFmtId="0" fontId="9" fillId="10" borderId="8" xfId="0" applyFont="1" applyFill="1" applyBorder="1"/>
    <xf numFmtId="0" fontId="0" fillId="11" borderId="0" xfId="0" applyFill="1"/>
    <xf numFmtId="0" fontId="7" fillId="3" borderId="10" xfId="0" applyFont="1" applyFill="1" applyBorder="1"/>
    <xf numFmtId="0" fontId="2" fillId="4" borderId="11" xfId="0" applyFont="1" applyFill="1" applyBorder="1"/>
    <xf numFmtId="0" fontId="2" fillId="5" borderId="11" xfId="0" applyFont="1" applyFill="1" applyBorder="1"/>
    <xf numFmtId="0" fontId="2" fillId="4" borderId="11" xfId="0" applyFont="1" applyFill="1" applyBorder="1" applyAlignment="1">
      <alignment horizontal="center"/>
    </xf>
    <xf numFmtId="0" fontId="2" fillId="5" borderId="11" xfId="0" applyFont="1" applyFill="1" applyBorder="1" applyAlignment="1">
      <alignment horizontal="center"/>
    </xf>
    <xf numFmtId="0" fontId="2" fillId="9" borderId="0" xfId="0" applyFont="1" applyFill="1" applyAlignment="1">
      <alignment horizontal="center"/>
    </xf>
    <xf numFmtId="0" fontId="2" fillId="4" borderId="7" xfId="0" applyFont="1" applyFill="1" applyBorder="1"/>
    <xf numFmtId="0" fontId="2" fillId="5" borderId="7" xfId="0" applyFont="1" applyFill="1" applyBorder="1"/>
    <xf numFmtId="0" fontId="2" fillId="5" borderId="17" xfId="0" applyFont="1" applyFill="1" applyBorder="1"/>
    <xf numFmtId="0" fontId="2" fillId="5" borderId="0" xfId="0" applyFont="1" applyFill="1"/>
    <xf numFmtId="0" fontId="2" fillId="4" borderId="0" xfId="0" applyFont="1" applyFill="1"/>
    <xf numFmtId="0" fontId="2" fillId="4" borderId="18" xfId="0" applyFont="1" applyFill="1" applyBorder="1"/>
    <xf numFmtId="0" fontId="2" fillId="8" borderId="0" xfId="0" applyFont="1" applyFill="1" applyAlignment="1">
      <alignment horizontal="left"/>
    </xf>
    <xf numFmtId="0" fontId="2" fillId="0" borderId="13" xfId="0" applyFont="1" applyBorder="1"/>
    <xf numFmtId="0" fontId="8" fillId="0" borderId="13" xfId="0" applyFont="1" applyBorder="1"/>
    <xf numFmtId="0" fontId="2" fillId="0" borderId="13" xfId="0" applyFont="1" applyBorder="1" applyAlignment="1">
      <alignment horizontal="center"/>
    </xf>
    <xf numFmtId="0" fontId="2" fillId="0" borderId="13" xfId="0" applyFont="1" applyBorder="1" applyAlignment="1">
      <alignment horizontal="left"/>
    </xf>
    <xf numFmtId="0" fontId="2" fillId="9" borderId="13" xfId="0" applyFont="1" applyFill="1" applyBorder="1" applyAlignment="1">
      <alignment horizontal="left"/>
    </xf>
    <xf numFmtId="0" fontId="2" fillId="9" borderId="0" xfId="0" applyFont="1" applyFill="1"/>
    <xf numFmtId="0" fontId="8" fillId="9" borderId="0" xfId="0" applyFont="1" applyFill="1"/>
    <xf numFmtId="0" fontId="11" fillId="0" borderId="0" xfId="0" applyFont="1"/>
    <xf numFmtId="9" fontId="18" fillId="7" borderId="16" xfId="1" applyFont="1" applyFill="1" applyBorder="1" applyAlignment="1" applyProtection="1">
      <alignment horizontal="center" vertical="center"/>
    </xf>
    <xf numFmtId="0" fontId="15" fillId="0" borderId="0" xfId="0" applyFont="1" applyAlignment="1">
      <alignment horizontal="center" vertical="center"/>
    </xf>
    <xf numFmtId="0" fontId="11" fillId="0" borderId="0" xfId="0" applyFont="1" applyAlignment="1">
      <alignment vertical="center"/>
    </xf>
    <xf numFmtId="0" fontId="20" fillId="0" borderId="13" xfId="0" applyFont="1" applyBorder="1" applyAlignment="1">
      <alignment vertical="center"/>
    </xf>
    <xf numFmtId="0" fontId="16" fillId="14" borderId="20" xfId="0" applyFont="1" applyFill="1" applyBorder="1" applyAlignment="1">
      <alignment vertical="center"/>
    </xf>
    <xf numFmtId="0" fontId="11" fillId="0" borderId="0" xfId="0" applyFont="1" applyAlignment="1">
      <alignment horizontal="center" vertical="center"/>
    </xf>
    <xf numFmtId="0" fontId="15" fillId="0" borderId="0" xfId="0" applyFont="1" applyAlignment="1">
      <alignment vertical="center" wrapText="1"/>
    </xf>
    <xf numFmtId="0" fontId="17" fillId="6" borderId="0" xfId="0" applyFont="1" applyFill="1" applyAlignment="1">
      <alignment horizontal="left" vertical="center" indent="1"/>
    </xf>
    <xf numFmtId="0" fontId="17" fillId="6" borderId="0" xfId="0" applyFont="1" applyFill="1" applyAlignment="1">
      <alignment horizontal="left" vertical="center"/>
    </xf>
    <xf numFmtId="0" fontId="17" fillId="6" borderId="0" xfId="0" applyFont="1" applyFill="1" applyAlignment="1">
      <alignment horizontal="right" vertical="center"/>
    </xf>
    <xf numFmtId="0" fontId="24" fillId="6" borderId="0" xfId="0" applyFont="1" applyFill="1" applyAlignment="1">
      <alignment horizontal="center" vertical="center"/>
    </xf>
    <xf numFmtId="0" fontId="17" fillId="6" borderId="15" xfId="0" applyFont="1" applyFill="1" applyBorder="1" applyAlignment="1">
      <alignment horizontal="left" vertical="center"/>
    </xf>
    <xf numFmtId="0" fontId="17" fillId="6" borderId="15" xfId="0" applyFont="1" applyFill="1" applyBorder="1" applyAlignment="1">
      <alignment horizontal="right" vertical="center"/>
    </xf>
    <xf numFmtId="0" fontId="17" fillId="0" borderId="0" xfId="0" applyFont="1" applyAlignment="1">
      <alignment horizontal="left" vertical="center"/>
    </xf>
    <xf numFmtId="0" fontId="17" fillId="0" borderId="0" xfId="0" applyFont="1" applyAlignment="1">
      <alignment horizontal="right" vertical="center"/>
    </xf>
    <xf numFmtId="0" fontId="14" fillId="0" borderId="0" xfId="0" applyFont="1" applyAlignment="1">
      <alignment horizontal="center" vertical="center"/>
    </xf>
    <xf numFmtId="0" fontId="17" fillId="0" borderId="0" xfId="0" applyFont="1" applyAlignment="1">
      <alignment vertical="center"/>
    </xf>
    <xf numFmtId="0" fontId="14" fillId="2" borderId="1" xfId="0" applyFont="1" applyFill="1" applyBorder="1" applyAlignment="1">
      <alignment horizontal="center" vertical="center"/>
    </xf>
    <xf numFmtId="0" fontId="24" fillId="0" borderId="0" xfId="0" applyFont="1" applyAlignment="1">
      <alignment horizontal="center" vertical="center"/>
    </xf>
    <xf numFmtId="0" fontId="14" fillId="0" borderId="0" xfId="0" applyFont="1" applyAlignment="1">
      <alignment horizontal="left" vertical="center"/>
    </xf>
    <xf numFmtId="0" fontId="21" fillId="0" borderId="13" xfId="0" applyFont="1" applyBorder="1" applyAlignment="1">
      <alignment horizontal="right" vertical="center"/>
    </xf>
    <xf numFmtId="0" fontId="17" fillId="14" borderId="20" xfId="0" applyFont="1" applyFill="1" applyBorder="1" applyAlignment="1">
      <alignment vertical="center"/>
    </xf>
    <xf numFmtId="0" fontId="17" fillId="14" borderId="20" xfId="0" applyFont="1" applyFill="1" applyBorder="1" applyAlignment="1">
      <alignment horizontal="left" vertical="center"/>
    </xf>
    <xf numFmtId="9" fontId="14" fillId="0" borderId="0" xfId="0" applyNumberFormat="1" applyFont="1" applyAlignment="1">
      <alignment vertical="center"/>
    </xf>
    <xf numFmtId="0" fontId="14" fillId="0" borderId="12" xfId="0" applyFont="1" applyBorder="1" applyAlignment="1">
      <alignment horizontal="center" vertical="center"/>
    </xf>
    <xf numFmtId="0" fontId="14" fillId="0" borderId="19" xfId="0" applyFont="1" applyBorder="1" applyAlignment="1">
      <alignment horizontal="center" vertical="center"/>
    </xf>
    <xf numFmtId="0" fontId="12" fillId="0" borderId="0" xfId="0" applyFont="1" applyAlignment="1">
      <alignment horizontal="left" vertical="center"/>
    </xf>
    <xf numFmtId="0" fontId="14" fillId="2" borderId="4" xfId="0" applyFont="1" applyFill="1" applyBorder="1" applyAlignment="1">
      <alignment horizontal="center" vertical="center"/>
    </xf>
    <xf numFmtId="9" fontId="26" fillId="6" borderId="0" xfId="1" applyFont="1" applyFill="1" applyBorder="1" applyAlignment="1" applyProtection="1">
      <alignment horizontal="center" vertical="center"/>
    </xf>
    <xf numFmtId="0" fontId="27" fillId="0" borderId="0" xfId="0" applyFont="1" applyAlignment="1">
      <alignment horizontal="center" vertical="center" shrinkToFit="1"/>
    </xf>
    <xf numFmtId="0" fontId="29" fillId="0" borderId="0" xfId="0" applyFont="1" applyAlignment="1">
      <alignment horizontal="center" vertical="center"/>
    </xf>
    <xf numFmtId="0" fontId="15" fillId="0" borderId="0" xfId="0" applyFont="1"/>
    <xf numFmtId="0" fontId="15" fillId="0" borderId="14" xfId="0" applyFont="1" applyBorder="1"/>
    <xf numFmtId="0" fontId="15" fillId="0" borderId="14" xfId="0" applyFont="1" applyBorder="1" applyAlignment="1">
      <alignment horizontal="center" vertical="center"/>
    </xf>
    <xf numFmtId="0" fontId="15" fillId="6" borderId="0" xfId="0" applyFont="1" applyFill="1" applyAlignment="1">
      <alignment horizontal="left" vertical="center"/>
    </xf>
    <xf numFmtId="0" fontId="15" fillId="6" borderId="0" xfId="0" applyFont="1" applyFill="1"/>
    <xf numFmtId="0" fontId="15" fillId="6" borderId="0" xfId="0" applyFont="1" applyFill="1" applyAlignment="1">
      <alignment horizontal="center" vertical="center"/>
    </xf>
    <xf numFmtId="0" fontId="15" fillId="6" borderId="15" xfId="0" applyFont="1" applyFill="1" applyBorder="1" applyAlignment="1">
      <alignment horizontal="center" vertical="center"/>
    </xf>
    <xf numFmtId="0" fontId="15" fillId="6" borderId="15" xfId="0" applyFont="1" applyFill="1" applyBorder="1"/>
    <xf numFmtId="0" fontId="15" fillId="0" borderId="0" xfId="0" applyFont="1" applyProtection="1">
      <protection locked="0" hidden="1"/>
    </xf>
    <xf numFmtId="0" fontId="15" fillId="0" borderId="0" xfId="0" applyFont="1" applyAlignment="1">
      <alignment vertical="center"/>
    </xf>
    <xf numFmtId="0" fontId="23" fillId="14" borderId="21" xfId="0" applyFont="1" applyFill="1" applyBorder="1" applyAlignment="1">
      <alignment vertical="center"/>
    </xf>
    <xf numFmtId="0" fontId="16" fillId="0" borderId="0" xfId="0" applyFont="1" applyAlignment="1">
      <alignment vertical="center"/>
    </xf>
    <xf numFmtId="0" fontId="30" fillId="0" borderId="0" xfId="0" applyFont="1" applyAlignment="1">
      <alignment horizontal="center" vertical="center"/>
    </xf>
    <xf numFmtId="164" fontId="15" fillId="2" borderId="2" xfId="0" applyNumberFormat="1" applyFont="1" applyFill="1" applyBorder="1" applyAlignment="1" applyProtection="1">
      <alignment horizontal="center" vertical="center"/>
      <protection locked="0"/>
    </xf>
    <xf numFmtId="165" fontId="15" fillId="2" borderId="4" xfId="0" applyNumberFormat="1" applyFont="1" applyFill="1" applyBorder="1" applyAlignment="1" applyProtection="1">
      <alignment horizontal="center" vertical="center"/>
      <protection locked="0"/>
    </xf>
    <xf numFmtId="0" fontId="16" fillId="0" borderId="0" xfId="0" applyFont="1" applyAlignment="1">
      <alignment horizontal="left" vertical="center" indent="1"/>
    </xf>
    <xf numFmtId="0" fontId="15" fillId="0" borderId="0" xfId="0" applyFont="1" applyAlignment="1">
      <alignment horizontal="left" vertical="center" indent="1"/>
    </xf>
    <xf numFmtId="0" fontId="19" fillId="0" borderId="13" xfId="0" applyFont="1" applyBorder="1" applyAlignment="1">
      <alignment vertical="center"/>
    </xf>
    <xf numFmtId="0" fontId="26" fillId="6" borderId="0" xfId="0" applyFont="1" applyFill="1" applyAlignment="1">
      <alignment horizontal="right" vertical="center"/>
    </xf>
    <xf numFmtId="0" fontId="20" fillId="2" borderId="3" xfId="0" quotePrefix="1" applyFont="1" applyFill="1" applyBorder="1" applyAlignment="1">
      <alignment horizontal="center" vertical="center"/>
    </xf>
    <xf numFmtId="0" fontId="16" fillId="6" borderId="15" xfId="0" applyFont="1" applyFill="1" applyBorder="1" applyAlignment="1">
      <alignment vertical="center"/>
    </xf>
    <xf numFmtId="0" fontId="15" fillId="2" borderId="1" xfId="0" applyFont="1" applyFill="1" applyBorder="1" applyAlignment="1" applyProtection="1">
      <alignment horizontal="center" vertical="center"/>
      <protection locked="0"/>
    </xf>
    <xf numFmtId="0" fontId="15" fillId="0" borderId="14" xfId="0" applyFont="1" applyBorder="1" applyProtection="1">
      <protection hidden="1"/>
    </xf>
    <xf numFmtId="0" fontId="15" fillId="0" borderId="14" xfId="0" applyFont="1" applyBorder="1" applyAlignment="1" applyProtection="1">
      <alignment horizontal="center" vertical="center"/>
      <protection hidden="1"/>
    </xf>
    <xf numFmtId="0" fontId="15" fillId="0" borderId="0" xfId="0" applyFont="1" applyProtection="1">
      <protection locked="0"/>
    </xf>
    <xf numFmtId="0" fontId="16" fillId="0" borderId="13" xfId="0" applyFont="1" applyBorder="1"/>
    <xf numFmtId="0" fontId="15" fillId="0" borderId="13" xfId="0" applyFont="1" applyBorder="1"/>
    <xf numFmtId="166" fontId="15" fillId="0" borderId="0" xfId="0" applyNumberFormat="1" applyFont="1" applyAlignment="1" applyProtection="1">
      <alignment horizontal="right" vertical="center" indent="1"/>
      <protection hidden="1"/>
    </xf>
    <xf numFmtId="0" fontId="22" fillId="0" borderId="0" xfId="0" applyFont="1" applyAlignment="1">
      <alignment vertical="center"/>
    </xf>
    <xf numFmtId="0" fontId="6" fillId="0" borderId="0" xfId="0" applyFont="1" applyAlignment="1">
      <alignment horizontal="left"/>
    </xf>
    <xf numFmtId="0" fontId="34" fillId="0" borderId="0" xfId="0" applyFont="1" applyAlignment="1">
      <alignment horizontal="left"/>
    </xf>
    <xf numFmtId="0" fontId="34" fillId="0" borderId="0" xfId="0" applyFont="1"/>
    <xf numFmtId="0" fontId="35" fillId="0" borderId="0" xfId="0" applyFont="1"/>
    <xf numFmtId="0" fontId="35" fillId="0" borderId="0" xfId="0" applyFont="1" applyAlignment="1">
      <alignment horizontal="center"/>
    </xf>
    <xf numFmtId="0" fontId="35" fillId="0" borderId="0" xfId="0" applyFont="1" applyAlignment="1">
      <alignment horizontal="left"/>
    </xf>
    <xf numFmtId="0" fontId="35" fillId="9" borderId="0" xfId="0" applyFont="1" applyFill="1" applyAlignment="1">
      <alignment horizontal="left"/>
    </xf>
    <xf numFmtId="0" fontId="2" fillId="18" borderId="0" xfId="0" applyFont="1" applyFill="1"/>
    <xf numFmtId="0" fontId="36" fillId="10" borderId="8" xfId="0" applyFont="1" applyFill="1" applyBorder="1"/>
    <xf numFmtId="44" fontId="2" fillId="18" borderId="0" xfId="0" applyNumberFormat="1" applyFont="1" applyFill="1" applyAlignment="1">
      <alignment horizontal="left"/>
    </xf>
    <xf numFmtId="0" fontId="16" fillId="0" borderId="0" xfId="0" applyFont="1"/>
    <xf numFmtId="0" fontId="2" fillId="12" borderId="0" xfId="0" applyFont="1" applyFill="1" applyAlignment="1">
      <alignment horizontal="left"/>
    </xf>
    <xf numFmtId="0" fontId="18" fillId="0" borderId="0" xfId="0" applyFont="1" applyAlignment="1">
      <alignment horizontal="right" vertical="center"/>
    </xf>
    <xf numFmtId="0" fontId="2" fillId="18" borderId="13" xfId="0" applyFont="1" applyFill="1" applyBorder="1"/>
    <xf numFmtId="0" fontId="38" fillId="0" borderId="0" xfId="0" applyFont="1" applyAlignment="1">
      <alignment horizontal="center" vertical="center"/>
    </xf>
    <xf numFmtId="0" fontId="16" fillId="0" borderId="13" xfId="0" applyFont="1" applyBorder="1" applyAlignment="1">
      <alignment vertical="center"/>
    </xf>
    <xf numFmtId="0" fontId="10" fillId="0" borderId="13" xfId="0" applyFont="1" applyBorder="1" applyAlignment="1">
      <alignment horizontal="center" vertical="center"/>
    </xf>
    <xf numFmtId="0" fontId="15" fillId="0" borderId="13" xfId="0" applyFont="1" applyBorder="1" applyAlignment="1">
      <alignment horizontal="center" vertical="center"/>
    </xf>
    <xf numFmtId="167" fontId="15" fillId="2" borderId="1" xfId="0" applyNumberFormat="1" applyFont="1" applyFill="1" applyBorder="1" applyAlignment="1" applyProtection="1">
      <alignment horizontal="center" vertical="center" wrapText="1"/>
      <protection locked="0"/>
    </xf>
    <xf numFmtId="49" fontId="15" fillId="0" borderId="0" xfId="0" applyNumberFormat="1" applyFont="1" applyAlignment="1">
      <alignment vertical="center"/>
    </xf>
    <xf numFmtId="10" fontId="15" fillId="2" borderId="1" xfId="0" applyNumberFormat="1" applyFont="1" applyFill="1" applyBorder="1" applyAlignment="1" applyProtection="1">
      <alignment horizontal="center" vertical="center" wrapText="1"/>
      <protection locked="0"/>
    </xf>
    <xf numFmtId="0" fontId="15" fillId="0" borderId="0" xfId="0" applyFont="1" applyAlignment="1">
      <alignment horizontal="right" vertical="center" indent="1"/>
    </xf>
    <xf numFmtId="0" fontId="15" fillId="0" borderId="0" xfId="0" applyFont="1" applyAlignment="1">
      <alignment horizontal="left" vertical="center"/>
    </xf>
    <xf numFmtId="0" fontId="27" fillId="0" borderId="0" xfId="0" applyFont="1" applyAlignment="1">
      <alignment horizontal="right" vertical="center" shrinkToFit="1"/>
    </xf>
    <xf numFmtId="0" fontId="27" fillId="0" borderId="0" xfId="0" applyFont="1" applyAlignment="1">
      <alignment vertical="center" shrinkToFit="1"/>
    </xf>
    <xf numFmtId="0" fontId="17" fillId="6" borderId="15" xfId="0" applyFont="1" applyFill="1" applyBorder="1" applyAlignment="1">
      <alignment horizontal="left" vertical="center" indent="1"/>
    </xf>
    <xf numFmtId="3" fontId="2" fillId="0" borderId="0" xfId="0" applyNumberFormat="1" applyFont="1" applyAlignment="1">
      <alignment horizontal="left"/>
    </xf>
    <xf numFmtId="10" fontId="2" fillId="18" borderId="0" xfId="1" applyNumberFormat="1" applyFont="1" applyFill="1" applyAlignment="1">
      <alignment horizontal="left"/>
    </xf>
    <xf numFmtId="10" fontId="2" fillId="0" borderId="0" xfId="1" applyNumberFormat="1" applyFont="1" applyAlignment="1">
      <alignment horizontal="left"/>
    </xf>
    <xf numFmtId="10" fontId="35" fillId="0" borderId="0" xfId="1" applyNumberFormat="1" applyFont="1" applyFill="1" applyAlignment="1">
      <alignment horizontal="left"/>
    </xf>
    <xf numFmtId="0" fontId="40" fillId="19" borderId="0" xfId="0" applyFont="1" applyFill="1"/>
    <xf numFmtId="0" fontId="40" fillId="19" borderId="0" xfId="0" applyFont="1" applyFill="1" applyAlignment="1">
      <alignment horizontal="left"/>
    </xf>
    <xf numFmtId="0" fontId="40" fillId="19" borderId="0" xfId="0" applyFont="1" applyFill="1" applyAlignment="1">
      <alignment horizontal="center"/>
    </xf>
    <xf numFmtId="0" fontId="2" fillId="19" borderId="0" xfId="0" applyFont="1" applyFill="1" applyAlignment="1">
      <alignment horizontal="left"/>
    </xf>
    <xf numFmtId="0" fontId="40" fillId="19" borderId="13" xfId="0" applyFont="1" applyFill="1" applyBorder="1"/>
    <xf numFmtId="0" fontId="40" fillId="19" borderId="13" xfId="0" applyFont="1" applyFill="1" applyBorder="1" applyAlignment="1">
      <alignment horizontal="left"/>
    </xf>
    <xf numFmtId="0" fontId="5" fillId="9" borderId="13" xfId="0" applyFont="1" applyFill="1" applyBorder="1" applyAlignment="1">
      <alignment horizontal="left"/>
    </xf>
    <xf numFmtId="0" fontId="14" fillId="0" borderId="0" xfId="0" applyFont="1" applyAlignment="1">
      <alignment vertical="center" wrapText="1"/>
    </xf>
    <xf numFmtId="0" fontId="28" fillId="0" borderId="0" xfId="0" applyFont="1" applyAlignment="1">
      <alignment horizontal="left"/>
    </xf>
    <xf numFmtId="0" fontId="18" fillId="0" borderId="0" xfId="0" applyFont="1" applyAlignment="1">
      <alignment horizontal="left"/>
    </xf>
    <xf numFmtId="0" fontId="42" fillId="10" borderId="8" xfId="0" applyFont="1" applyFill="1" applyBorder="1"/>
    <xf numFmtId="0" fontId="43" fillId="0" borderId="0" xfId="0" applyFont="1" applyAlignment="1">
      <alignment vertical="center"/>
    </xf>
    <xf numFmtId="0" fontId="43" fillId="0" borderId="0" xfId="0" applyFont="1"/>
    <xf numFmtId="0" fontId="31" fillId="13" borderId="1" xfId="0" applyFont="1" applyFill="1" applyBorder="1" applyAlignment="1">
      <alignment horizontal="left"/>
    </xf>
    <xf numFmtId="0" fontId="28" fillId="14" borderId="1" xfId="0" applyFont="1" applyFill="1" applyBorder="1" applyAlignment="1">
      <alignment horizontal="left"/>
    </xf>
    <xf numFmtId="0" fontId="28" fillId="12" borderId="1" xfId="0" applyFont="1" applyFill="1" applyBorder="1" applyAlignment="1">
      <alignment horizontal="left"/>
    </xf>
    <xf numFmtId="0" fontId="28" fillId="14" borderId="1" xfId="0" applyFont="1" applyFill="1" applyBorder="1" applyAlignment="1">
      <alignment horizontal="left" vertical="center"/>
    </xf>
    <xf numFmtId="0" fontId="28" fillId="12" borderId="1" xfId="0" applyFont="1" applyFill="1" applyBorder="1" applyAlignment="1">
      <alignment horizontal="left" vertical="center"/>
    </xf>
    <xf numFmtId="0" fontId="18" fillId="14" borderId="1" xfId="0" applyFont="1" applyFill="1" applyBorder="1" applyAlignment="1">
      <alignment horizontal="left" vertical="center"/>
    </xf>
    <xf numFmtId="1" fontId="28" fillId="7" borderId="1" xfId="1" applyNumberFormat="1" applyFont="1" applyFill="1" applyBorder="1" applyAlignment="1" applyProtection="1">
      <alignment horizontal="left" vertical="center"/>
    </xf>
    <xf numFmtId="0" fontId="32" fillId="16" borderId="1" xfId="0" applyFont="1" applyFill="1" applyBorder="1" applyAlignment="1">
      <alignment horizontal="left" vertical="center"/>
    </xf>
    <xf numFmtId="0" fontId="13" fillId="16" borderId="1" xfId="0" applyFont="1" applyFill="1" applyBorder="1" applyAlignment="1">
      <alignment horizontal="left" vertical="center"/>
    </xf>
    <xf numFmtId="0" fontId="33" fillId="16" borderId="1" xfId="0" applyFont="1" applyFill="1" applyBorder="1" applyAlignment="1">
      <alignment horizontal="left" vertical="center"/>
    </xf>
    <xf numFmtId="0" fontId="28" fillId="16" borderId="1" xfId="0" applyFont="1" applyFill="1" applyBorder="1" applyAlignment="1">
      <alignment horizontal="left" vertical="center"/>
    </xf>
    <xf numFmtId="0" fontId="25" fillId="16" borderId="1" xfId="0" applyFont="1" applyFill="1" applyBorder="1" applyAlignment="1">
      <alignment horizontal="right" vertical="center"/>
    </xf>
    <xf numFmtId="0" fontId="28" fillId="14" borderId="1" xfId="0" applyFont="1" applyFill="1" applyBorder="1" applyAlignment="1">
      <alignment horizontal="left" vertical="center" indent="2"/>
    </xf>
    <xf numFmtId="0" fontId="28" fillId="6" borderId="1" xfId="0" applyFont="1" applyFill="1" applyBorder="1" applyAlignment="1">
      <alignment horizontal="left" vertical="center"/>
    </xf>
    <xf numFmtId="0" fontId="18" fillId="14" borderId="1" xfId="0" applyFont="1" applyFill="1" applyBorder="1" applyAlignment="1">
      <alignment horizontal="left" vertical="center" indent="2"/>
    </xf>
    <xf numFmtId="0" fontId="28" fillId="14" borderId="1" xfId="0" applyFont="1" applyFill="1" applyBorder="1" applyAlignment="1">
      <alignment horizontal="left" vertical="center" indent="1"/>
    </xf>
    <xf numFmtId="9" fontId="28" fillId="12" borderId="1" xfId="1" applyFont="1" applyFill="1" applyBorder="1" applyAlignment="1" applyProtection="1">
      <alignment horizontal="left" vertical="center"/>
    </xf>
    <xf numFmtId="0" fontId="18" fillId="12" borderId="1" xfId="0" applyFont="1" applyFill="1" applyBorder="1" applyAlignment="1">
      <alignment horizontal="left" vertical="center"/>
    </xf>
    <xf numFmtId="0" fontId="28" fillId="7" borderId="1" xfId="0" applyFont="1" applyFill="1" applyBorder="1" applyAlignment="1">
      <alignment horizontal="left" vertical="center"/>
    </xf>
    <xf numFmtId="0" fontId="28" fillId="15" borderId="1" xfId="0" applyFont="1" applyFill="1" applyBorder="1" applyAlignment="1">
      <alignment horizontal="left" vertical="center" indent="1"/>
    </xf>
    <xf numFmtId="0" fontId="41" fillId="19" borderId="1" xfId="0" applyFont="1" applyFill="1" applyBorder="1" applyAlignment="1">
      <alignment horizontal="left" vertical="center" indent="2"/>
    </xf>
    <xf numFmtId="0" fontId="41" fillId="19" borderId="1" xfId="0" applyFont="1" applyFill="1" applyBorder="1" applyAlignment="1">
      <alignment horizontal="left" vertical="center"/>
    </xf>
    <xf numFmtId="166" fontId="0" fillId="0" borderId="0" xfId="0" applyNumberFormat="1"/>
    <xf numFmtId="0" fontId="44" fillId="0" borderId="0" xfId="0" applyFont="1"/>
    <xf numFmtId="0" fontId="44" fillId="0" borderId="0" xfId="0" applyFont="1" applyAlignment="1">
      <alignment horizontal="center"/>
    </xf>
    <xf numFmtId="0" fontId="44" fillId="0" borderId="0" xfId="0" applyFont="1" applyAlignment="1">
      <alignment horizontal="left"/>
    </xf>
    <xf numFmtId="0" fontId="44" fillId="0" borderId="13" xfId="0" applyFont="1" applyBorder="1"/>
    <xf numFmtId="0" fontId="44" fillId="0" borderId="13" xfId="0" applyFont="1" applyBorder="1" applyAlignment="1">
      <alignment horizontal="center"/>
    </xf>
    <xf numFmtId="0" fontId="44" fillId="0" borderId="13" xfId="0" applyFont="1" applyBorder="1" applyAlignment="1">
      <alignment horizontal="left"/>
    </xf>
    <xf numFmtId="0" fontId="27" fillId="0" borderId="0" xfId="0" applyFont="1" applyAlignment="1">
      <alignment vertical="center" wrapText="1" shrinkToFit="1"/>
    </xf>
    <xf numFmtId="0" fontId="2" fillId="19" borderId="0" xfId="0" applyFont="1" applyFill="1"/>
    <xf numFmtId="0" fontId="2" fillId="19" borderId="13" xfId="0" applyFont="1" applyFill="1" applyBorder="1"/>
    <xf numFmtId="0" fontId="8" fillId="9" borderId="13" xfId="0" applyFont="1" applyFill="1" applyBorder="1"/>
    <xf numFmtId="0" fontId="14" fillId="0" borderId="0" xfId="0" applyFont="1" applyAlignment="1">
      <alignment horizontal="center" vertical="center"/>
    </xf>
    <xf numFmtId="0" fontId="14" fillId="0" borderId="0" xfId="0" applyFont="1" applyAlignment="1">
      <alignment horizontal="center" vertical="center"/>
    </xf>
    <xf numFmtId="0" fontId="45" fillId="0" borderId="0" xfId="0" applyFont="1"/>
    <xf numFmtId="0" fontId="27" fillId="0" borderId="0" xfId="0" applyFont="1" applyAlignment="1">
      <alignment horizontal="center" vertical="center" wrapText="1" shrinkToFit="1"/>
    </xf>
    <xf numFmtId="0" fontId="15" fillId="2" borderId="2" xfId="0" applyFont="1" applyFill="1" applyBorder="1" applyAlignment="1" applyProtection="1">
      <alignment horizontal="left" vertical="center" indent="1"/>
      <protection locked="0"/>
    </xf>
    <xf numFmtId="0" fontId="15" fillId="2" borderId="3" xfId="0" applyFont="1" applyFill="1" applyBorder="1" applyAlignment="1" applyProtection="1">
      <alignment horizontal="left" vertical="center" indent="1"/>
      <protection locked="0"/>
    </xf>
    <xf numFmtId="0" fontId="15" fillId="14" borderId="1" xfId="0" applyFont="1" applyFill="1" applyBorder="1" applyAlignment="1">
      <alignment horizontal="left" vertical="center"/>
    </xf>
    <xf numFmtId="0" fontId="15" fillId="14" borderId="1" xfId="0" applyFont="1" applyFill="1" applyBorder="1" applyAlignment="1">
      <alignment horizontal="center" vertical="center"/>
    </xf>
    <xf numFmtId="44" fontId="15" fillId="2" borderId="2" xfId="0" applyNumberFormat="1" applyFont="1" applyFill="1" applyBorder="1" applyAlignment="1" applyProtection="1">
      <alignment horizontal="left" vertical="center"/>
      <protection locked="0"/>
    </xf>
    <xf numFmtId="44" fontId="15" fillId="2" borderId="3" xfId="0" applyNumberFormat="1" applyFont="1" applyFill="1" applyBorder="1" applyAlignment="1" applyProtection="1">
      <alignment horizontal="left" vertical="center"/>
      <protection locked="0"/>
    </xf>
    <xf numFmtId="44" fontId="15" fillId="2" borderId="4" xfId="0" applyNumberFormat="1" applyFont="1" applyFill="1" applyBorder="1" applyAlignment="1" applyProtection="1">
      <alignment horizontal="left" vertical="center"/>
      <protection locked="0"/>
    </xf>
    <xf numFmtId="44" fontId="15" fillId="2" borderId="2" xfId="0" applyNumberFormat="1" applyFont="1" applyFill="1" applyBorder="1" applyAlignment="1" applyProtection="1">
      <alignment vertical="center"/>
      <protection locked="0"/>
    </xf>
    <xf numFmtId="44" fontId="15" fillId="2" borderId="3" xfId="0" applyNumberFormat="1" applyFont="1" applyFill="1" applyBorder="1" applyAlignment="1" applyProtection="1">
      <alignment vertical="center"/>
      <protection locked="0"/>
    </xf>
    <xf numFmtId="44" fontId="15" fillId="2" borderId="4" xfId="0" applyNumberFormat="1" applyFont="1" applyFill="1" applyBorder="1" applyAlignment="1" applyProtection="1">
      <alignment vertical="center"/>
      <protection locked="0"/>
    </xf>
    <xf numFmtId="0" fontId="22" fillId="0" borderId="0" xfId="0" applyFont="1" applyAlignment="1">
      <alignment horizontal="left" vertical="center" wrapText="1"/>
    </xf>
    <xf numFmtId="0" fontId="27" fillId="0" borderId="9" xfId="0" applyFont="1" applyBorder="1" applyAlignment="1">
      <alignment horizontal="center" vertical="center" wrapText="1" shrinkToFit="1"/>
    </xf>
    <xf numFmtId="0" fontId="27" fillId="0" borderId="0" xfId="0" applyFont="1" applyBorder="1" applyAlignment="1">
      <alignment horizontal="center" vertical="center" wrapText="1" shrinkToFit="1"/>
    </xf>
    <xf numFmtId="0" fontId="15" fillId="2" borderId="2"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14" fontId="15" fillId="2" borderId="2" xfId="0" applyNumberFormat="1" applyFont="1" applyFill="1" applyBorder="1" applyAlignment="1" applyProtection="1">
      <alignment horizontal="center" vertical="center" wrapText="1"/>
      <protection locked="0"/>
    </xf>
    <xf numFmtId="14" fontId="15" fillId="2" borderId="3" xfId="0" applyNumberFormat="1" applyFont="1" applyFill="1" applyBorder="1" applyAlignment="1" applyProtection="1">
      <alignment horizontal="center" vertical="center" wrapText="1"/>
      <protection locked="0"/>
    </xf>
    <xf numFmtId="14" fontId="15" fillId="2" borderId="4" xfId="0" applyNumberFormat="1" applyFont="1" applyFill="1" applyBorder="1" applyAlignment="1" applyProtection="1">
      <alignment horizontal="center" vertical="center" wrapText="1"/>
      <protection locked="0"/>
    </xf>
    <xf numFmtId="0" fontId="15" fillId="2" borderId="4" xfId="0" applyFont="1" applyFill="1" applyBorder="1" applyAlignment="1" applyProtection="1">
      <alignment horizontal="left" vertical="center" indent="1"/>
      <protection locked="0"/>
    </xf>
    <xf numFmtId="0" fontId="11" fillId="2" borderId="3" xfId="0" applyFont="1" applyFill="1" applyBorder="1" applyAlignment="1" applyProtection="1">
      <alignment horizontal="left" vertical="center" indent="1"/>
      <protection locked="0"/>
    </xf>
    <xf numFmtId="0" fontId="11" fillId="2" borderId="4" xfId="0" applyFont="1" applyFill="1" applyBorder="1" applyAlignment="1" applyProtection="1">
      <alignment horizontal="left" vertical="center" indent="1"/>
      <protection locked="0"/>
    </xf>
    <xf numFmtId="166" fontId="15" fillId="2" borderId="2" xfId="0" applyNumberFormat="1" applyFont="1" applyFill="1" applyBorder="1" applyAlignment="1" applyProtection="1">
      <alignment horizontal="center" vertical="center" wrapText="1"/>
      <protection locked="0"/>
    </xf>
    <xf numFmtId="166" fontId="15" fillId="2" borderId="3" xfId="0" applyNumberFormat="1" applyFont="1" applyFill="1" applyBorder="1" applyAlignment="1" applyProtection="1">
      <alignment horizontal="center" vertical="center" wrapText="1"/>
      <protection locked="0"/>
    </xf>
    <xf numFmtId="166" fontId="15" fillId="2" borderId="4" xfId="0" applyNumberFormat="1" applyFont="1" applyFill="1" applyBorder="1" applyAlignment="1" applyProtection="1">
      <alignment horizontal="center" vertical="center" wrapText="1"/>
      <protection locked="0"/>
    </xf>
    <xf numFmtId="44" fontId="15" fillId="0" borderId="1" xfId="0" applyNumberFormat="1" applyFont="1" applyBorder="1" applyAlignment="1">
      <alignment horizontal="center" vertical="center"/>
    </xf>
    <xf numFmtId="0" fontId="27" fillId="0" borderId="5" xfId="0" applyFont="1" applyBorder="1" applyAlignment="1">
      <alignment horizontal="center" vertical="center" wrapText="1" shrinkToFit="1"/>
    </xf>
    <xf numFmtId="1" fontId="15" fillId="2" borderId="2" xfId="0" applyNumberFormat="1" applyFont="1" applyFill="1" applyBorder="1" applyAlignment="1" applyProtection="1">
      <alignment horizontal="center" vertical="center" wrapText="1"/>
      <protection locked="0"/>
    </xf>
    <xf numFmtId="1" fontId="15" fillId="2" borderId="3" xfId="0" applyNumberFormat="1" applyFont="1" applyFill="1" applyBorder="1" applyAlignment="1" applyProtection="1">
      <alignment horizontal="center" vertical="center" wrapText="1"/>
      <protection locked="0"/>
    </xf>
    <xf numFmtId="1" fontId="15" fillId="2" borderId="4" xfId="0" applyNumberFormat="1" applyFont="1" applyFill="1" applyBorder="1" applyAlignment="1" applyProtection="1">
      <alignment horizontal="center" vertical="center" wrapText="1"/>
      <protection locked="0"/>
    </xf>
    <xf numFmtId="10" fontId="15" fillId="0" borderId="1" xfId="0" applyNumberFormat="1" applyFont="1" applyBorder="1" applyAlignment="1">
      <alignment horizontal="center" vertical="center" wrapText="1"/>
    </xf>
    <xf numFmtId="0" fontId="12" fillId="0" borderId="0" xfId="0" applyFont="1" applyAlignment="1">
      <alignment horizontal="left" vertical="center" wrapText="1"/>
    </xf>
    <xf numFmtId="0" fontId="15" fillId="2" borderId="1" xfId="0" applyFont="1" applyFill="1" applyBorder="1" applyAlignment="1" applyProtection="1">
      <alignment horizontal="left" vertical="center" indent="1"/>
      <protection locked="0"/>
    </xf>
    <xf numFmtId="0" fontId="15" fillId="0" borderId="0" xfId="0" applyFont="1" applyAlignment="1">
      <alignment vertical="center" wrapText="1"/>
    </xf>
    <xf numFmtId="0" fontId="18" fillId="0" borderId="0" xfId="0" applyFont="1" applyAlignment="1">
      <alignment horizontal="center" vertical="center"/>
    </xf>
    <xf numFmtId="0" fontId="14" fillId="0" borderId="0" xfId="0" applyFont="1" applyAlignment="1">
      <alignment horizontal="center" vertical="center"/>
    </xf>
    <xf numFmtId="0" fontId="17" fillId="0" borderId="0" xfId="0" applyFont="1" applyAlignment="1">
      <alignment horizontal="left" vertical="center"/>
    </xf>
    <xf numFmtId="0" fontId="16" fillId="0" borderId="0" xfId="0" applyFont="1" applyAlignment="1">
      <alignment horizontal="left" vertical="center"/>
    </xf>
    <xf numFmtId="0" fontId="14" fillId="17" borderId="2" xfId="0" applyFont="1" applyFill="1" applyBorder="1" applyAlignment="1">
      <alignment horizontal="center" vertical="center"/>
    </xf>
    <xf numFmtId="0" fontId="15" fillId="17" borderId="3" xfId="0" applyFont="1" applyFill="1" applyBorder="1" applyAlignment="1">
      <alignment horizontal="center" vertical="center"/>
    </xf>
    <xf numFmtId="0" fontId="15" fillId="17" borderId="4" xfId="0" applyFont="1" applyFill="1" applyBorder="1" applyAlignment="1">
      <alignment horizontal="center" vertical="center"/>
    </xf>
    <xf numFmtId="0" fontId="17" fillId="0" borderId="25" xfId="0" applyFont="1" applyBorder="1" applyAlignment="1">
      <alignment horizontal="left" vertical="center" indent="1"/>
    </xf>
    <xf numFmtId="0" fontId="17" fillId="0" borderId="0" xfId="0" applyFont="1" applyAlignment="1">
      <alignment horizontal="left" vertical="center" indent="1"/>
    </xf>
    <xf numFmtId="0" fontId="17" fillId="0" borderId="0" xfId="0" applyFont="1" applyBorder="1" applyAlignment="1">
      <alignment horizontal="left" vertical="center" indent="1"/>
    </xf>
    <xf numFmtId="0" fontId="16" fillId="0" borderId="0" xfId="0" applyFont="1" applyAlignment="1">
      <alignment horizontal="left" vertical="center" indent="1"/>
    </xf>
    <xf numFmtId="0" fontId="17" fillId="0" borderId="5" xfId="0" applyFont="1" applyBorder="1" applyAlignment="1">
      <alignment horizontal="left" vertical="center"/>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10" fontId="15" fillId="2" borderId="22" xfId="1" applyNumberFormat="1" applyFont="1" applyFill="1" applyBorder="1" applyAlignment="1" applyProtection="1">
      <alignment horizontal="center" vertical="center"/>
      <protection locked="0"/>
    </xf>
    <xf numFmtId="10" fontId="15" fillId="2" borderId="23" xfId="1" applyNumberFormat="1" applyFont="1" applyFill="1" applyBorder="1" applyAlignment="1" applyProtection="1">
      <alignment horizontal="center" vertical="center"/>
      <protection locked="0"/>
    </xf>
    <xf numFmtId="10" fontId="15" fillId="2" borderId="24" xfId="1" applyNumberFormat="1" applyFont="1" applyFill="1" applyBorder="1" applyAlignment="1" applyProtection="1">
      <alignment horizontal="center" vertical="center"/>
      <protection locked="0"/>
    </xf>
    <xf numFmtId="10" fontId="15" fillId="0" borderId="22" xfId="1" applyNumberFormat="1" applyFont="1" applyFill="1" applyBorder="1" applyAlignment="1" applyProtection="1">
      <alignment horizontal="center" vertical="center"/>
    </xf>
    <xf numFmtId="10" fontId="15" fillId="0" borderId="23" xfId="1" applyNumberFormat="1" applyFont="1" applyFill="1" applyBorder="1" applyAlignment="1" applyProtection="1">
      <alignment horizontal="center" vertical="center"/>
    </xf>
    <xf numFmtId="10" fontId="15" fillId="0" borderId="24" xfId="1" applyNumberFormat="1" applyFont="1" applyFill="1" applyBorder="1" applyAlignment="1" applyProtection="1">
      <alignment horizontal="center" vertical="center"/>
    </xf>
    <xf numFmtId="166" fontId="15" fillId="0" borderId="22" xfId="0" applyNumberFormat="1" applyFont="1" applyBorder="1" applyAlignment="1">
      <alignment horizontal="center" vertical="center"/>
    </xf>
    <xf numFmtId="166" fontId="15" fillId="0" borderId="23" xfId="0" applyNumberFormat="1" applyFont="1" applyBorder="1" applyAlignment="1">
      <alignment horizontal="center" vertical="center"/>
    </xf>
    <xf numFmtId="166" fontId="15" fillId="0" borderId="24" xfId="0" applyNumberFormat="1" applyFont="1" applyBorder="1" applyAlignment="1">
      <alignment horizontal="center" vertical="center"/>
    </xf>
    <xf numFmtId="3" fontId="15" fillId="2" borderId="22" xfId="6" applyNumberFormat="1" applyFont="1" applyFill="1" applyBorder="1" applyAlignment="1" applyProtection="1">
      <alignment horizontal="center" vertical="center"/>
      <protection locked="0"/>
    </xf>
    <xf numFmtId="3" fontId="15" fillId="2" borderId="23" xfId="6" applyNumberFormat="1" applyFont="1" applyFill="1" applyBorder="1" applyAlignment="1" applyProtection="1">
      <alignment horizontal="center" vertical="center"/>
      <protection locked="0"/>
    </xf>
    <xf numFmtId="3" fontId="15" fillId="2" borderId="24" xfId="6" applyNumberFormat="1" applyFont="1" applyFill="1" applyBorder="1" applyAlignment="1" applyProtection="1">
      <alignment horizontal="center" vertical="center"/>
      <protection locked="0"/>
    </xf>
  </cellXfs>
  <cellStyles count="7">
    <cellStyle name="Comma" xfId="6" builtinId="3"/>
    <cellStyle name="Comma 2" xfId="4" xr:uid="{00000000-0005-0000-0000-000001000000}"/>
    <cellStyle name="Currency 2" xfId="5" xr:uid="{00000000-0005-0000-0000-000002000000}"/>
    <cellStyle name="Normal" xfId="0" builtinId="0"/>
    <cellStyle name="Normal 2" xfId="2" xr:uid="{00000000-0005-0000-0000-000005000000}"/>
    <cellStyle name="Percent" xfId="1" builtinId="5"/>
    <cellStyle name="Percent 2" xfId="3" xr:uid="{00000000-0005-0000-0000-000007000000}"/>
  </cellStyles>
  <dxfs count="121">
    <dxf>
      <font>
        <b val="0"/>
        <i val="0"/>
        <color theme="0"/>
      </font>
      <fill>
        <patternFill>
          <bgColor theme="6" tint="-0.24994659260841701"/>
        </patternFill>
      </fill>
    </dxf>
    <dxf>
      <fill>
        <patternFill>
          <bgColor rgb="FFF7EAE9"/>
        </patternFill>
      </fill>
    </dxf>
    <dxf>
      <fill>
        <patternFill>
          <bgColor rgb="FFF0F5E7"/>
        </patternFill>
      </fill>
    </dxf>
    <dxf>
      <fill>
        <patternFill patternType="lightUp">
          <fgColor theme="0" tint="-0.24994659260841701"/>
          <bgColor theme="0" tint="-0.14996795556505021"/>
        </patternFill>
      </fill>
    </dxf>
    <dxf>
      <fill>
        <patternFill patternType="lightUp">
          <fgColor theme="0" tint="-0.24994659260841701"/>
          <bgColor theme="0" tint="-0.14996795556505021"/>
        </patternFill>
      </fill>
    </dxf>
    <dxf>
      <font>
        <b/>
        <i val="0"/>
        <color theme="0"/>
      </font>
      <fill>
        <patternFill>
          <bgColor theme="5" tint="-0.24994659260841701"/>
        </patternFill>
      </fill>
      <border>
        <left/>
        <right/>
        <top/>
        <bottom/>
      </border>
    </dxf>
    <dxf>
      <font>
        <b/>
        <i val="0"/>
        <color theme="0"/>
      </font>
      <fill>
        <patternFill>
          <bgColor theme="5" tint="-0.24994659260841701"/>
        </patternFill>
      </fill>
      <border>
        <left/>
        <right/>
        <top/>
        <bottom/>
      </border>
    </dxf>
    <dxf>
      <font>
        <color theme="0"/>
      </font>
      <fill>
        <patternFill patternType="none">
          <bgColor auto="1"/>
        </patternFill>
      </fill>
    </dxf>
    <dxf>
      <font>
        <b/>
        <i val="0"/>
        <color theme="0"/>
      </font>
      <fill>
        <patternFill>
          <bgColor theme="5" tint="-0.24994659260841701"/>
        </patternFill>
      </fill>
      <border>
        <left/>
        <right/>
        <top/>
        <bottom/>
      </border>
    </dxf>
    <dxf>
      <fill>
        <patternFill>
          <bgColor rgb="FFF0F5E7"/>
        </patternFill>
      </fill>
    </dxf>
    <dxf>
      <fill>
        <patternFill patternType="solid">
          <fgColor auto="1"/>
          <bgColor rgb="FFF7EAE9"/>
        </patternFill>
      </fill>
    </dxf>
    <dxf>
      <font>
        <b/>
        <i val="0"/>
      </font>
      <fill>
        <patternFill>
          <bgColor theme="9" tint="0.79998168889431442"/>
        </patternFill>
      </fill>
      <border>
        <left/>
        <right style="thin">
          <color theme="9" tint="0.39994506668294322"/>
        </right>
        <top style="thin">
          <color theme="9" tint="0.39994506668294322"/>
        </top>
        <bottom style="thin">
          <color theme="9" tint="0.39994506668294322"/>
        </bottom>
      </border>
    </dxf>
    <dxf>
      <fill>
        <patternFill patternType="lightUp">
          <fgColor theme="0" tint="-0.24994659260841701"/>
          <bgColor theme="0" tint="-0.14996795556505021"/>
        </patternFill>
      </fill>
    </dxf>
    <dxf>
      <font>
        <color theme="0"/>
      </font>
    </dxf>
    <dxf>
      <fill>
        <patternFill>
          <bgColor theme="9" tint="0.79998168889431442"/>
        </patternFill>
      </fill>
      <border>
        <left style="thin">
          <color theme="9" tint="0.39994506668294322"/>
        </left>
        <right/>
        <top style="thin">
          <color theme="9" tint="0.39994506668294322"/>
        </top>
        <bottom style="thin">
          <color theme="9" tint="0.39994506668294322"/>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border outline="0">
        <left style="thin">
          <color theme="9" tint="0.39997558519241921"/>
        </left>
        <right style="thin">
          <color theme="9" tint="0.39997558519241921"/>
        </right>
        <top style="thin">
          <color theme="9" tint="0.39997558519241921"/>
        </top>
        <bottom style="thin">
          <color theme="9" tint="0.39997558519241921"/>
        </bottom>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border outline="0">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alignment horizontal="left" vertical="bottom"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alignment horizontal="left" vertical="bottom" textRotation="0" wrapText="0" relativeIndent="0" justifyLastLine="0" shrinkToFit="0" readingOrder="0"/>
    </dxf>
    <dxf>
      <font>
        <strike val="0"/>
        <outline val="0"/>
        <shadow val="0"/>
        <u val="none"/>
        <vertAlign val="baseline"/>
        <sz val="10"/>
        <color theme="1"/>
        <name val="Calibri"/>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left" vertical="bottom" textRotation="0" wrapText="0" relativeIndent="0" justifyLastLine="0" shrinkToFit="0" readingOrder="0"/>
    </dxf>
    <dxf>
      <font>
        <strike val="0"/>
        <outline val="0"/>
        <shadow val="0"/>
        <u val="none"/>
        <vertAlign val="baseline"/>
        <sz val="10"/>
        <color theme="1"/>
        <name val="Calibri"/>
        <scheme val="minor"/>
      </font>
      <numFmt numFmtId="0" formatCode="General"/>
      <alignment horizontal="left" vertical="bottom" textRotation="0" wrapText="0" indent="0" justifyLastLine="0" shrinkToFit="0" readingOrder="0"/>
    </dxf>
    <dxf>
      <font>
        <strike val="0"/>
        <outline val="0"/>
        <shadow val="0"/>
        <u val="none"/>
        <vertAlign val="baseline"/>
        <sz val="10"/>
        <color theme="1"/>
        <name val="Calibri"/>
        <scheme val="minor"/>
      </font>
      <alignment horizontal="left"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s>
  <tableStyles count="0" defaultTableStyle="TableStyleMedium9" defaultPivotStyle="PivotStyleLight16"/>
  <colors>
    <mruColors>
      <color rgb="FFA6CE43"/>
      <color rgb="FF00305E"/>
      <color rgb="FFFFFFCC"/>
      <color rgb="FF248EC2"/>
      <color rgb="FF9CACB9"/>
      <color rgb="FF77BF42"/>
      <color rgb="FF6B95C7"/>
      <color rgb="FF4A7EBB"/>
      <color rgb="FF86AA2C"/>
      <color rgb="FFF0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TARGET_WISH_6_START"/><Relationship Id="rId3" Type="http://schemas.openxmlformats.org/officeDocument/2006/relationships/hyperlink" Target="#TARGET_WISH_TOP"/><Relationship Id="rId7" Type="http://schemas.openxmlformats.org/officeDocument/2006/relationships/hyperlink" Target="#TARGET_WISH_3_START"/><Relationship Id="rId2" Type="http://schemas.openxmlformats.org/officeDocument/2006/relationships/hyperlink" Target="#TARGET_WISH_4_START"/><Relationship Id="rId1" Type="http://schemas.openxmlformats.org/officeDocument/2006/relationships/hyperlink" Target="#TARGET_WISH_1_START"/><Relationship Id="rId6" Type="http://schemas.openxmlformats.org/officeDocument/2006/relationships/hyperlink" Target="#TARGET_WISH_2_START"/><Relationship Id="rId5" Type="http://schemas.openxmlformats.org/officeDocument/2006/relationships/hyperlink" Target="#TARGET_WISH_5_START"/><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TARGET_CONFIG_TOP"/><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219074</xdr:colOff>
      <xdr:row>22</xdr:row>
      <xdr:rowOff>9525</xdr:rowOff>
    </xdr:from>
    <xdr:ext cx="2295525" cy="264560"/>
    <xdr:sp macro="" textlink="$G$18">
      <xdr:nvSpPr>
        <xdr:cNvPr id="49" name="TOC_SECTION_LINK">
          <a:hlinkClick xmlns:r="http://schemas.openxmlformats.org/officeDocument/2006/relationships" r:id="rId1"/>
          <a:extLst>
            <a:ext uri="{FF2B5EF4-FFF2-40B4-BE49-F238E27FC236}">
              <a16:creationId xmlns:a16="http://schemas.microsoft.com/office/drawing/2014/main" id="{00000000-0008-0000-0000-000031000000}"/>
            </a:ext>
          </a:extLst>
        </xdr:cNvPr>
        <xdr:cNvSpPr txBox="1"/>
      </xdr:nvSpPr>
      <xdr:spPr>
        <a:xfrm>
          <a:off x="7391399" y="4095750"/>
          <a:ext cx="22955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B36367EC-FE10-4F0D-9705-8C04301B182A}" type="TxLink">
            <a:rPr lang="en-US" sz="900" b="1" i="0" u="sng" strike="noStrike">
              <a:solidFill>
                <a:srgbClr val="376091"/>
              </a:solidFill>
              <a:latin typeface="Arial" pitchFamily="34" charset="0"/>
              <a:cs typeface="Arial" pitchFamily="34" charset="0"/>
            </a:rPr>
            <a:pPr algn="l"/>
            <a:t>Homebuyer Information</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16</xdr:col>
      <xdr:colOff>333374</xdr:colOff>
      <xdr:row>22</xdr:row>
      <xdr:rowOff>9525</xdr:rowOff>
    </xdr:from>
    <xdr:ext cx="2152651" cy="264560"/>
    <xdr:sp macro="" textlink="$G$62">
      <xdr:nvSpPr>
        <xdr:cNvPr id="403" name="TOC_SECTION_LINK">
          <a:hlinkClick xmlns:r="http://schemas.openxmlformats.org/officeDocument/2006/relationships" r:id="rId2"/>
          <a:extLst>
            <a:ext uri="{FF2B5EF4-FFF2-40B4-BE49-F238E27FC236}">
              <a16:creationId xmlns:a16="http://schemas.microsoft.com/office/drawing/2014/main" id="{00000000-0008-0000-0000-000093010000}"/>
            </a:ext>
          </a:extLst>
        </xdr:cNvPr>
        <xdr:cNvSpPr txBox="1"/>
      </xdr:nvSpPr>
      <xdr:spPr>
        <a:xfrm>
          <a:off x="11087099" y="4095750"/>
          <a:ext cx="2152651"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999FB6D9-654B-4E79-AE1C-508CD6275AAB}" type="TxLink">
            <a:rPr lang="en-US" sz="900" b="1" i="0" u="sng" strike="noStrike">
              <a:solidFill>
                <a:srgbClr val="376091"/>
              </a:solidFill>
              <a:latin typeface="Arial" pitchFamily="34" charset="0"/>
              <a:cs typeface="Arial" pitchFamily="34" charset="0"/>
            </a:rPr>
            <a:pPr algn="l"/>
            <a:t>Purchase Property Address</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twoCellAnchor editAs="oneCell">
    <xdr:from>
      <xdr:col>7</xdr:col>
      <xdr:colOff>66676</xdr:colOff>
      <xdr:row>25</xdr:row>
      <xdr:rowOff>238117</xdr:rowOff>
    </xdr:from>
    <xdr:to>
      <xdr:col>24</xdr:col>
      <xdr:colOff>53975</xdr:colOff>
      <xdr:row>43</xdr:row>
      <xdr:rowOff>38101</xdr:rowOff>
    </xdr:to>
    <xdr:grpSp>
      <xdr:nvGrpSpPr>
        <xdr:cNvPr id="397" name="SECTION_GROUP">
          <a:extLst>
            <a:ext uri="{FF2B5EF4-FFF2-40B4-BE49-F238E27FC236}">
              <a16:creationId xmlns:a16="http://schemas.microsoft.com/office/drawing/2014/main" id="{00000000-0008-0000-0000-00008D010000}"/>
            </a:ext>
          </a:extLst>
        </xdr:cNvPr>
        <xdr:cNvGrpSpPr/>
      </xdr:nvGrpSpPr>
      <xdr:grpSpPr>
        <a:xfrm>
          <a:off x="68454" y="5753050"/>
          <a:ext cx="7929710" cy="4829438"/>
          <a:chOff x="9363075" y="17306809"/>
          <a:chExt cx="7362825" cy="5136735"/>
        </a:xfrm>
      </xdr:grpSpPr>
      <xdr:sp macro="" textlink="$B$18">
        <xdr:nvSpPr>
          <xdr:cNvPr id="398" name="SECTION_GROUP_TITLE">
            <a:extLst>
              <a:ext uri="{FF2B5EF4-FFF2-40B4-BE49-F238E27FC236}">
                <a16:creationId xmlns:a16="http://schemas.microsoft.com/office/drawing/2014/main" id="{00000000-0008-0000-0000-00008E010000}"/>
              </a:ext>
            </a:extLst>
          </xdr:cNvPr>
          <xdr:cNvSpPr/>
        </xdr:nvSpPr>
        <xdr:spPr>
          <a:xfrm>
            <a:off x="9363075" y="17306809"/>
            <a:ext cx="7360920" cy="330887"/>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CAAE38C3-66AC-40FF-B498-4E7E3D9E22E9}" type="TxLink">
              <a:rPr lang="en-US" sz="1100" b="1" i="0" u="none" strike="noStrike">
                <a:solidFill>
                  <a:srgbClr val="FFFFFF"/>
                </a:solidFill>
                <a:latin typeface="Arial" pitchFamily="34" charset="0"/>
                <a:cs typeface="Arial" pitchFamily="34" charset="0"/>
              </a:rPr>
              <a:pPr algn="l"/>
              <a:t>Homebuyer Information</a:t>
            </a:fld>
            <a:endParaRPr lang="en-US" sz="1050" b="1" i="0" u="none" strike="noStrike">
              <a:solidFill>
                <a:schemeClr val="bg1"/>
              </a:solidFill>
              <a:latin typeface="Arial" pitchFamily="34" charset="0"/>
              <a:cs typeface="Arial" pitchFamily="34" charset="0"/>
            </a:endParaRPr>
          </a:p>
        </xdr:txBody>
      </xdr:sp>
      <xdr:sp macro="" textlink="">
        <xdr:nvSpPr>
          <xdr:cNvPr id="399" name="SECTION_GROUP_FRAME">
            <a:extLst>
              <a:ext uri="{FF2B5EF4-FFF2-40B4-BE49-F238E27FC236}">
                <a16:creationId xmlns:a16="http://schemas.microsoft.com/office/drawing/2014/main" id="{00000000-0008-0000-0000-00008F010000}"/>
              </a:ext>
            </a:extLst>
          </xdr:cNvPr>
          <xdr:cNvSpPr/>
        </xdr:nvSpPr>
        <xdr:spPr>
          <a:xfrm>
            <a:off x="9363075" y="17641467"/>
            <a:ext cx="7362825" cy="4802077"/>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39">
        <xdr:nvSpPr>
          <xdr:cNvPr id="400" name="SECTION_GROUP_SUBTITLE">
            <a:extLst>
              <a:ext uri="{FF2B5EF4-FFF2-40B4-BE49-F238E27FC236}">
                <a16:creationId xmlns:a16="http://schemas.microsoft.com/office/drawing/2014/main" id="{00000000-0008-0000-0000-000090010000}"/>
              </a:ext>
            </a:extLst>
          </xdr:cNvPr>
          <xdr:cNvSpPr/>
        </xdr:nvSpPr>
        <xdr:spPr>
          <a:xfrm>
            <a:off x="9372598" y="17650976"/>
            <a:ext cx="7351776" cy="293945"/>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4E5E8887-BB8B-4361-A6F3-0A9EFAC41882}"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401" name="SECTION_GROUP_SUBTITLE_LABEL">
            <a:extLst>
              <a:ext uri="{FF2B5EF4-FFF2-40B4-BE49-F238E27FC236}">
                <a16:creationId xmlns:a16="http://schemas.microsoft.com/office/drawing/2014/main" id="{00000000-0008-0000-0000-000091010000}"/>
              </a:ext>
            </a:extLst>
          </xdr:cNvPr>
          <xdr:cNvSpPr txBox="1"/>
        </xdr:nvSpPr>
        <xdr:spPr>
          <a:xfrm>
            <a:off x="9467850" y="17650982"/>
            <a:ext cx="476249" cy="293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clientData fPrintsWithSheet="0"/>
  </xdr:twoCellAnchor>
  <xdr:twoCellAnchor editAs="oneCell">
    <xdr:from>
      <xdr:col>7</xdr:col>
      <xdr:colOff>66676</xdr:colOff>
      <xdr:row>57</xdr:row>
      <xdr:rowOff>219078</xdr:rowOff>
    </xdr:from>
    <xdr:to>
      <xdr:col>24</xdr:col>
      <xdr:colOff>53975</xdr:colOff>
      <xdr:row>65</xdr:row>
      <xdr:rowOff>57149</xdr:rowOff>
    </xdr:to>
    <xdr:grpSp>
      <xdr:nvGrpSpPr>
        <xdr:cNvPr id="387" name="SECTION_GROUP">
          <a:extLst>
            <a:ext uri="{FF2B5EF4-FFF2-40B4-BE49-F238E27FC236}">
              <a16:creationId xmlns:a16="http://schemas.microsoft.com/office/drawing/2014/main" id="{00000000-0008-0000-0000-000083010000}"/>
            </a:ext>
          </a:extLst>
        </xdr:cNvPr>
        <xdr:cNvGrpSpPr/>
      </xdr:nvGrpSpPr>
      <xdr:grpSpPr>
        <a:xfrm>
          <a:off x="68454" y="14700719"/>
          <a:ext cx="7929710" cy="2073779"/>
          <a:chOff x="9363075" y="17306809"/>
          <a:chExt cx="7362825" cy="1973853"/>
        </a:xfrm>
      </xdr:grpSpPr>
      <xdr:sp macro="" textlink="$B$62">
        <xdr:nvSpPr>
          <xdr:cNvPr id="388" name="SECTION_GROUP_TITLE">
            <a:extLst>
              <a:ext uri="{FF2B5EF4-FFF2-40B4-BE49-F238E27FC236}">
                <a16:creationId xmlns:a16="http://schemas.microsoft.com/office/drawing/2014/main" id="{00000000-0008-0000-0000-000084010000}"/>
              </a:ext>
            </a:extLst>
          </xdr:cNvPr>
          <xdr:cNvSpPr/>
        </xdr:nvSpPr>
        <xdr:spPr>
          <a:xfrm>
            <a:off x="9363075" y="17306809"/>
            <a:ext cx="7360920" cy="299659"/>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15D0AF0E-AE2D-4DC3-92BC-A01C7728A6D3}" type="TxLink">
              <a:rPr lang="en-US" sz="1100" b="1" i="0" u="none" strike="noStrike">
                <a:solidFill>
                  <a:srgbClr val="FFFFFF"/>
                </a:solidFill>
                <a:latin typeface="Arial" pitchFamily="34" charset="0"/>
                <a:cs typeface="Arial" pitchFamily="34" charset="0"/>
              </a:rPr>
              <a:pPr algn="l"/>
              <a:t>Purchase Property Address</a:t>
            </a:fld>
            <a:endParaRPr lang="en-US" sz="1100" b="1" i="0" u="none" strike="noStrike">
              <a:solidFill>
                <a:schemeClr val="bg1"/>
              </a:solidFill>
              <a:latin typeface="Arial" pitchFamily="34" charset="0"/>
              <a:cs typeface="Arial" pitchFamily="34" charset="0"/>
            </a:endParaRPr>
          </a:p>
        </xdr:txBody>
      </xdr:sp>
      <xdr:sp macro="" textlink="">
        <xdr:nvSpPr>
          <xdr:cNvPr id="389" name="SECTION_GROUP_FRAME">
            <a:extLst>
              <a:ext uri="{FF2B5EF4-FFF2-40B4-BE49-F238E27FC236}">
                <a16:creationId xmlns:a16="http://schemas.microsoft.com/office/drawing/2014/main" id="{00000000-0008-0000-0000-000085010000}"/>
              </a:ext>
            </a:extLst>
          </xdr:cNvPr>
          <xdr:cNvSpPr/>
        </xdr:nvSpPr>
        <xdr:spPr>
          <a:xfrm>
            <a:off x="9363075" y="17623107"/>
            <a:ext cx="7362825" cy="1657555"/>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76">
        <xdr:nvSpPr>
          <xdr:cNvPr id="390" name="SECTION_GROUP_SUBTITLE">
            <a:extLst>
              <a:ext uri="{FF2B5EF4-FFF2-40B4-BE49-F238E27FC236}">
                <a16:creationId xmlns:a16="http://schemas.microsoft.com/office/drawing/2014/main" id="{00000000-0008-0000-0000-000086010000}"/>
              </a:ext>
            </a:extLst>
          </xdr:cNvPr>
          <xdr:cNvSpPr/>
        </xdr:nvSpPr>
        <xdr:spPr>
          <a:xfrm>
            <a:off x="9372598" y="17632615"/>
            <a:ext cx="7351776" cy="264405"/>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42F4773F-DAE3-414B-A7BE-AACBEA5DAC9E}"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391" name="SECTION_GROUP_SUBTITLE_LABEL">
            <a:extLst>
              <a:ext uri="{FF2B5EF4-FFF2-40B4-BE49-F238E27FC236}">
                <a16:creationId xmlns:a16="http://schemas.microsoft.com/office/drawing/2014/main" id="{00000000-0008-0000-0000-000087010000}"/>
              </a:ext>
            </a:extLst>
          </xdr:cNvPr>
          <xdr:cNvSpPr txBox="1"/>
        </xdr:nvSpPr>
        <xdr:spPr>
          <a:xfrm>
            <a:off x="9467850" y="17623440"/>
            <a:ext cx="476249" cy="293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clientData fPrintsWithSheet="0"/>
  </xdr:twoCellAnchor>
  <xdr:twoCellAnchor editAs="oneCell">
    <xdr:from>
      <xdr:col>7</xdr:col>
      <xdr:colOff>69851</xdr:colOff>
      <xdr:row>65</xdr:row>
      <xdr:rowOff>241299</xdr:rowOff>
    </xdr:from>
    <xdr:to>
      <xdr:col>24</xdr:col>
      <xdr:colOff>53975</xdr:colOff>
      <xdr:row>85</xdr:row>
      <xdr:rowOff>247650</xdr:rowOff>
    </xdr:to>
    <xdr:grpSp>
      <xdr:nvGrpSpPr>
        <xdr:cNvPr id="382" name="SECTION_GROUP">
          <a:extLst>
            <a:ext uri="{FF2B5EF4-FFF2-40B4-BE49-F238E27FC236}">
              <a16:creationId xmlns:a16="http://schemas.microsoft.com/office/drawing/2014/main" id="{00000000-0008-0000-0000-00007E010000}"/>
            </a:ext>
          </a:extLst>
        </xdr:cNvPr>
        <xdr:cNvGrpSpPr/>
      </xdr:nvGrpSpPr>
      <xdr:grpSpPr>
        <a:xfrm>
          <a:off x="71629" y="16958902"/>
          <a:ext cx="7926535" cy="5710937"/>
          <a:chOff x="9363075" y="17069046"/>
          <a:chExt cx="7362825" cy="7846307"/>
        </a:xfrm>
      </xdr:grpSpPr>
      <xdr:sp macro="" textlink="$B$81">
        <xdr:nvSpPr>
          <xdr:cNvPr id="384" name="SECTION_GROUP_TITLE">
            <a:extLst>
              <a:ext uri="{FF2B5EF4-FFF2-40B4-BE49-F238E27FC236}">
                <a16:creationId xmlns:a16="http://schemas.microsoft.com/office/drawing/2014/main" id="{00000000-0008-0000-0000-000080010000}"/>
              </a:ext>
            </a:extLst>
          </xdr:cNvPr>
          <xdr:cNvSpPr/>
        </xdr:nvSpPr>
        <xdr:spPr>
          <a:xfrm>
            <a:off x="9363075" y="17069046"/>
            <a:ext cx="7360920" cy="431152"/>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2224AD2D-083F-4D30-AEF1-F9B397C041A1}" type="TxLink">
              <a:rPr lang="en-US" sz="1100" b="1" i="0" u="none" strike="noStrike">
                <a:solidFill>
                  <a:srgbClr val="FFFFFF"/>
                </a:solidFill>
                <a:latin typeface="Arial" pitchFamily="34" charset="0"/>
                <a:cs typeface="Arial" pitchFamily="34" charset="0"/>
              </a:rPr>
              <a:pPr algn="l"/>
              <a:t>Mortgage Information</a:t>
            </a:fld>
            <a:endParaRPr lang="en-US" sz="1100" b="1" i="0" u="none" strike="noStrike">
              <a:solidFill>
                <a:schemeClr val="bg1"/>
              </a:solidFill>
              <a:latin typeface="Arial" pitchFamily="34" charset="0"/>
              <a:cs typeface="Arial" pitchFamily="34" charset="0"/>
            </a:endParaRPr>
          </a:p>
        </xdr:txBody>
      </xdr:sp>
      <xdr:sp macro="" textlink="">
        <xdr:nvSpPr>
          <xdr:cNvPr id="383" name="SECTION_GROUP_FRAME">
            <a:extLst>
              <a:ext uri="{FF2B5EF4-FFF2-40B4-BE49-F238E27FC236}">
                <a16:creationId xmlns:a16="http://schemas.microsoft.com/office/drawing/2014/main" id="{00000000-0008-0000-0000-00007F010000}"/>
              </a:ext>
            </a:extLst>
          </xdr:cNvPr>
          <xdr:cNvSpPr/>
        </xdr:nvSpPr>
        <xdr:spPr>
          <a:xfrm>
            <a:off x="9363075" y="17522582"/>
            <a:ext cx="7362825" cy="7392771"/>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113">
        <xdr:nvSpPr>
          <xdr:cNvPr id="385" name="SECTION_GROUP_SUBTITLE">
            <a:extLst>
              <a:ext uri="{FF2B5EF4-FFF2-40B4-BE49-F238E27FC236}">
                <a16:creationId xmlns:a16="http://schemas.microsoft.com/office/drawing/2014/main" id="{00000000-0008-0000-0000-000081010000}"/>
              </a:ext>
            </a:extLst>
          </xdr:cNvPr>
          <xdr:cNvSpPr/>
        </xdr:nvSpPr>
        <xdr:spPr>
          <a:xfrm>
            <a:off x="9372598" y="17518882"/>
            <a:ext cx="7351776" cy="380427"/>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2E256CE4-A9D8-4564-AAAE-F75FA0A9347B}"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386" name="SECTION_GROUP_SUBTITLE_LABEL">
            <a:extLst>
              <a:ext uri="{FF2B5EF4-FFF2-40B4-BE49-F238E27FC236}">
                <a16:creationId xmlns:a16="http://schemas.microsoft.com/office/drawing/2014/main" id="{00000000-0008-0000-0000-000082010000}"/>
              </a:ext>
            </a:extLst>
          </xdr:cNvPr>
          <xdr:cNvSpPr txBox="1"/>
        </xdr:nvSpPr>
        <xdr:spPr>
          <a:xfrm>
            <a:off x="9467850" y="17558517"/>
            <a:ext cx="476249" cy="293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clientData fPrintsWithSheet="0"/>
  </xdr:twoCellAnchor>
  <xdr:twoCellAnchor editAs="oneCell">
    <xdr:from>
      <xdr:col>7</xdr:col>
      <xdr:colOff>66676</xdr:colOff>
      <xdr:row>86</xdr:row>
      <xdr:rowOff>247646</xdr:rowOff>
    </xdr:from>
    <xdr:to>
      <xdr:col>24</xdr:col>
      <xdr:colOff>53975</xdr:colOff>
      <xdr:row>97</xdr:row>
      <xdr:rowOff>111123</xdr:rowOff>
    </xdr:to>
    <xdr:grpSp>
      <xdr:nvGrpSpPr>
        <xdr:cNvPr id="377" name="SECTION_GROUP">
          <a:extLst>
            <a:ext uri="{FF2B5EF4-FFF2-40B4-BE49-F238E27FC236}">
              <a16:creationId xmlns:a16="http://schemas.microsoft.com/office/drawing/2014/main" id="{00000000-0008-0000-0000-000079010000}"/>
            </a:ext>
          </a:extLst>
        </xdr:cNvPr>
        <xdr:cNvGrpSpPr/>
      </xdr:nvGrpSpPr>
      <xdr:grpSpPr>
        <a:xfrm>
          <a:off x="68454" y="22949235"/>
          <a:ext cx="7929710" cy="2936369"/>
          <a:chOff x="9363075" y="17306809"/>
          <a:chExt cx="7362825" cy="3116896"/>
        </a:xfrm>
      </xdr:grpSpPr>
      <xdr:sp macro="" textlink="">
        <xdr:nvSpPr>
          <xdr:cNvPr id="378" name="SECTION_GROUP_FRAME">
            <a:extLst>
              <a:ext uri="{FF2B5EF4-FFF2-40B4-BE49-F238E27FC236}">
                <a16:creationId xmlns:a16="http://schemas.microsoft.com/office/drawing/2014/main" id="{00000000-0008-0000-0000-00007A010000}"/>
              </a:ext>
            </a:extLst>
          </xdr:cNvPr>
          <xdr:cNvSpPr/>
        </xdr:nvSpPr>
        <xdr:spPr>
          <a:xfrm>
            <a:off x="9363075" y="17641464"/>
            <a:ext cx="7362825" cy="2782241"/>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118">
        <xdr:nvSpPr>
          <xdr:cNvPr id="379" name="SECTION_GROUP_TITLE">
            <a:extLst>
              <a:ext uri="{FF2B5EF4-FFF2-40B4-BE49-F238E27FC236}">
                <a16:creationId xmlns:a16="http://schemas.microsoft.com/office/drawing/2014/main" id="{00000000-0008-0000-0000-00007B010000}"/>
              </a:ext>
            </a:extLst>
          </xdr:cNvPr>
          <xdr:cNvSpPr/>
        </xdr:nvSpPr>
        <xdr:spPr>
          <a:xfrm>
            <a:off x="9363075" y="17306809"/>
            <a:ext cx="7360920" cy="330887"/>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20C6431E-2C4B-4CE9-B3EC-1E65E52945D1}" type="TxLink">
              <a:rPr lang="en-US" sz="1100" b="1" i="0" u="none" strike="noStrike">
                <a:solidFill>
                  <a:srgbClr val="FFFFFF"/>
                </a:solidFill>
                <a:latin typeface="Arial" pitchFamily="34" charset="0"/>
                <a:cs typeface="Arial" pitchFamily="34" charset="0"/>
              </a:rPr>
              <a:pPr algn="l"/>
              <a:t>Other Grants or Mortgage Assistance</a:t>
            </a:fld>
            <a:endParaRPr lang="en-US" sz="1100" b="1" i="0" u="none" strike="noStrike">
              <a:solidFill>
                <a:schemeClr val="bg1"/>
              </a:solidFill>
              <a:latin typeface="Arial" pitchFamily="34" charset="0"/>
              <a:cs typeface="Arial" pitchFamily="34" charset="0"/>
            </a:endParaRPr>
          </a:p>
        </xdr:txBody>
      </xdr:sp>
      <xdr:sp macro="" textlink="$B$135">
        <xdr:nvSpPr>
          <xdr:cNvPr id="380" name="SECTION_GROUP_SUBTITLE">
            <a:extLst>
              <a:ext uri="{FF2B5EF4-FFF2-40B4-BE49-F238E27FC236}">
                <a16:creationId xmlns:a16="http://schemas.microsoft.com/office/drawing/2014/main" id="{00000000-0008-0000-0000-00007C010000}"/>
              </a:ext>
            </a:extLst>
          </xdr:cNvPr>
          <xdr:cNvSpPr/>
        </xdr:nvSpPr>
        <xdr:spPr>
          <a:xfrm>
            <a:off x="9372598" y="17650976"/>
            <a:ext cx="7351776" cy="293945"/>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3DD97D7A-A00C-423A-A86E-1D08840F2B2F}"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381" name="SECTION_GROUP_SUBTITLE_LABEL">
            <a:extLst>
              <a:ext uri="{FF2B5EF4-FFF2-40B4-BE49-F238E27FC236}">
                <a16:creationId xmlns:a16="http://schemas.microsoft.com/office/drawing/2014/main" id="{00000000-0008-0000-0000-00007D010000}"/>
              </a:ext>
            </a:extLst>
          </xdr:cNvPr>
          <xdr:cNvSpPr txBox="1"/>
        </xdr:nvSpPr>
        <xdr:spPr>
          <a:xfrm>
            <a:off x="9467850" y="17650982"/>
            <a:ext cx="476249" cy="293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clientData fPrintsWithSheet="0"/>
  </xdr:twoCellAnchor>
  <xdr:twoCellAnchor editAs="absolute">
    <xdr:from>
      <xdr:col>25</xdr:col>
      <xdr:colOff>598053</xdr:colOff>
      <xdr:row>18</xdr:row>
      <xdr:rowOff>38100</xdr:rowOff>
    </xdr:from>
    <xdr:to>
      <xdr:col>25</xdr:col>
      <xdr:colOff>598053</xdr:colOff>
      <xdr:row>20</xdr:row>
      <xdr:rowOff>92075</xdr:rowOff>
    </xdr:to>
    <xdr:sp macro="" textlink="">
      <xdr:nvSpPr>
        <xdr:cNvPr id="17" name="COVER_CELLS_01">
          <a:extLst>
            <a:ext uri="{FF2B5EF4-FFF2-40B4-BE49-F238E27FC236}">
              <a16:creationId xmlns:a16="http://schemas.microsoft.com/office/drawing/2014/main" id="{00000000-0008-0000-0000-000011000000}"/>
            </a:ext>
          </a:extLst>
        </xdr:cNvPr>
        <xdr:cNvSpPr/>
      </xdr:nvSpPr>
      <xdr:spPr>
        <a:xfrm>
          <a:off x="8100578" y="3590925"/>
          <a:ext cx="0" cy="600075"/>
        </a:xfrm>
        <a:prstGeom prst="rect">
          <a:avLst/>
        </a:prstGeom>
        <a:solidFill>
          <a:srgbClr val="FFFFFF">
            <a:alpha val="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50">
            <a:latin typeface="Arial" pitchFamily="34" charset="0"/>
            <a:cs typeface="Arial" pitchFamily="34" charset="0"/>
          </a:endParaRPr>
        </a:p>
      </xdr:txBody>
    </xdr:sp>
    <xdr:clientData fPrintsWithSheet="0"/>
  </xdr:twoCellAnchor>
  <xdr:twoCellAnchor editAs="oneCell">
    <xdr:from>
      <xdr:col>21</xdr:col>
      <xdr:colOff>152401</xdr:colOff>
      <xdr:row>25</xdr:row>
      <xdr:rowOff>247650</xdr:rowOff>
    </xdr:from>
    <xdr:to>
      <xdr:col>24</xdr:col>
      <xdr:colOff>111126</xdr:colOff>
      <xdr:row>27</xdr:row>
      <xdr:rowOff>0</xdr:rowOff>
    </xdr:to>
    <xdr:sp macro="" textlink="">
      <xdr:nvSpPr>
        <xdr:cNvPr id="44" name="LINK_RENTAL_TOC">
          <a:hlinkClick xmlns:r="http://schemas.openxmlformats.org/officeDocument/2006/relationships" r:id="rId3"/>
          <a:extLst>
            <a:ext uri="{FF2B5EF4-FFF2-40B4-BE49-F238E27FC236}">
              <a16:creationId xmlns:a16="http://schemas.microsoft.com/office/drawing/2014/main" id="{00000000-0008-0000-0000-00002C000000}"/>
            </a:ext>
          </a:extLst>
        </xdr:cNvPr>
        <xdr:cNvSpPr/>
      </xdr:nvSpPr>
      <xdr:spPr>
        <a:xfrm>
          <a:off x="14525626" y="3476625"/>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clientData fPrintsWithSheet="0"/>
  </xdr:twoCellAnchor>
  <xdr:twoCellAnchor editAs="oneCell">
    <xdr:from>
      <xdr:col>14</xdr:col>
      <xdr:colOff>3398</xdr:colOff>
      <xdr:row>0</xdr:row>
      <xdr:rowOff>176215</xdr:rowOff>
    </xdr:from>
    <xdr:to>
      <xdr:col>24</xdr:col>
      <xdr:colOff>41498</xdr:colOff>
      <xdr:row>0</xdr:row>
      <xdr:rowOff>400050</xdr:rowOff>
    </xdr:to>
    <xdr:sp macro="" textlink="$B$6">
      <xdr:nvSpPr>
        <xdr:cNvPr id="35" name="HEADER_BANNER_TITLE">
          <a:extLst>
            <a:ext uri="{FF2B5EF4-FFF2-40B4-BE49-F238E27FC236}">
              <a16:creationId xmlns:a16="http://schemas.microsoft.com/office/drawing/2014/main" id="{00000000-0008-0000-0000-000023000000}"/>
            </a:ext>
          </a:extLst>
        </xdr:cNvPr>
        <xdr:cNvSpPr txBox="1"/>
      </xdr:nvSpPr>
      <xdr:spPr>
        <a:xfrm>
          <a:off x="10976198" y="176215"/>
          <a:ext cx="4572000" cy="2238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Ins="0" rtlCol="0" anchor="ctr">
          <a:noAutofit/>
        </a:bodyPr>
        <a:lstStyle/>
        <a:p>
          <a:pPr algn="r"/>
          <a:fld id="{EB7A598A-0828-4A2E-81B0-26C15BB3F65D}" type="TxLink">
            <a:rPr lang="en-US" sz="1050" b="1" i="0" u="none" strike="noStrike">
              <a:solidFill>
                <a:sysClr val="windowText" lastClr="000000"/>
              </a:solidFill>
              <a:latin typeface="Arial" pitchFamily="34" charset="0"/>
              <a:cs typeface="Arial" pitchFamily="34" charset="0"/>
            </a:rPr>
            <a:pPr algn="r"/>
            <a:t>MDPA Program | Certification and Disbursement Request Attachment 1</a:t>
          </a:fld>
          <a:endParaRPr lang="en-US" sz="1050" b="1" i="0">
            <a:solidFill>
              <a:sysClr val="windowText" lastClr="000000"/>
            </a:solidFill>
            <a:latin typeface="Arial" pitchFamily="34" charset="0"/>
            <a:cs typeface="Arial" pitchFamily="34" charset="0"/>
          </a:endParaRPr>
        </a:p>
      </xdr:txBody>
    </xdr:sp>
    <xdr:clientData/>
  </xdr:twoCellAnchor>
  <xdr:twoCellAnchor>
    <xdr:from>
      <xdr:col>7</xdr:col>
      <xdr:colOff>66676</xdr:colOff>
      <xdr:row>44</xdr:row>
      <xdr:rowOff>238122</xdr:rowOff>
    </xdr:from>
    <xdr:to>
      <xdr:col>24</xdr:col>
      <xdr:colOff>104776</xdr:colOff>
      <xdr:row>56</xdr:row>
      <xdr:rowOff>180973</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68454" y="11061655"/>
          <a:ext cx="7983051" cy="3321813"/>
          <a:chOff x="7077076" y="10125072"/>
          <a:chExt cx="7362825" cy="3257551"/>
        </a:xfrm>
      </xdr:grpSpPr>
      <xdr:grpSp>
        <xdr:nvGrpSpPr>
          <xdr:cNvPr id="392" name="SECTION_GROUP">
            <a:extLst>
              <a:ext uri="{FF2B5EF4-FFF2-40B4-BE49-F238E27FC236}">
                <a16:creationId xmlns:a16="http://schemas.microsoft.com/office/drawing/2014/main" id="{00000000-0008-0000-0000-000088010000}"/>
              </a:ext>
            </a:extLst>
          </xdr:cNvPr>
          <xdr:cNvGrpSpPr/>
        </xdr:nvGrpSpPr>
        <xdr:grpSpPr>
          <a:xfrm>
            <a:off x="7077076" y="10125072"/>
            <a:ext cx="7362824" cy="3257551"/>
            <a:chOff x="9363075" y="17306809"/>
            <a:chExt cx="7362825" cy="3506507"/>
          </a:xfrm>
        </xdr:grpSpPr>
        <xdr:sp macro="" textlink="$B$44">
          <xdr:nvSpPr>
            <xdr:cNvPr id="393" name="SECTION_GROUP_TITLE">
              <a:extLst>
                <a:ext uri="{FF2B5EF4-FFF2-40B4-BE49-F238E27FC236}">
                  <a16:creationId xmlns:a16="http://schemas.microsoft.com/office/drawing/2014/main" id="{00000000-0008-0000-0000-000089010000}"/>
                </a:ext>
              </a:extLst>
            </xdr:cNvPr>
            <xdr:cNvSpPr/>
          </xdr:nvSpPr>
          <xdr:spPr>
            <a:xfrm>
              <a:off x="9363075" y="17306809"/>
              <a:ext cx="7360920" cy="330887"/>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FADD5778-91AA-44F8-8001-44AAEBEBC650}" type="TxLink">
                <a:rPr lang="en-US" sz="1100" b="1" i="0" u="none" strike="noStrike">
                  <a:solidFill>
                    <a:srgbClr val="FFFFFF"/>
                  </a:solidFill>
                  <a:latin typeface="Arial" pitchFamily="34" charset="0"/>
                  <a:cs typeface="Arial" pitchFamily="34" charset="0"/>
                </a:rPr>
                <a:pPr algn="l"/>
                <a:t>Income Qualification</a:t>
              </a:fld>
              <a:endParaRPr lang="en-US" sz="1100" b="1" i="0" u="none" strike="noStrike">
                <a:solidFill>
                  <a:schemeClr val="bg1"/>
                </a:solidFill>
                <a:latin typeface="Arial" pitchFamily="34" charset="0"/>
                <a:cs typeface="Arial" pitchFamily="34" charset="0"/>
              </a:endParaRPr>
            </a:p>
          </xdr:txBody>
        </xdr:sp>
        <xdr:sp macro="" textlink="">
          <xdr:nvSpPr>
            <xdr:cNvPr id="394" name="SECTION_GROUP_FRAME">
              <a:extLst>
                <a:ext uri="{FF2B5EF4-FFF2-40B4-BE49-F238E27FC236}">
                  <a16:creationId xmlns:a16="http://schemas.microsoft.com/office/drawing/2014/main" id="{00000000-0008-0000-0000-00008A010000}"/>
                </a:ext>
              </a:extLst>
            </xdr:cNvPr>
            <xdr:cNvSpPr/>
          </xdr:nvSpPr>
          <xdr:spPr>
            <a:xfrm>
              <a:off x="9363075" y="17641464"/>
              <a:ext cx="7362825" cy="3171852"/>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57">
          <xdr:nvSpPr>
            <xdr:cNvPr id="395" name="SECTION_GROUP_SUBTITLE">
              <a:extLst>
                <a:ext uri="{FF2B5EF4-FFF2-40B4-BE49-F238E27FC236}">
                  <a16:creationId xmlns:a16="http://schemas.microsoft.com/office/drawing/2014/main" id="{00000000-0008-0000-0000-00008B010000}"/>
                </a:ext>
              </a:extLst>
            </xdr:cNvPr>
            <xdr:cNvSpPr/>
          </xdr:nvSpPr>
          <xdr:spPr>
            <a:xfrm>
              <a:off x="9372598" y="17650976"/>
              <a:ext cx="7351776" cy="293945"/>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E4C9922D-EDFB-48CE-9854-C5ED57C564A4}"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396" name="SECTION_GROUP_SUBTITLE_LABEL">
              <a:extLst>
                <a:ext uri="{FF2B5EF4-FFF2-40B4-BE49-F238E27FC236}">
                  <a16:creationId xmlns:a16="http://schemas.microsoft.com/office/drawing/2014/main" id="{00000000-0008-0000-0000-00008C010000}"/>
                </a:ext>
              </a:extLst>
            </xdr:cNvPr>
            <xdr:cNvSpPr txBox="1"/>
          </xdr:nvSpPr>
          <xdr:spPr>
            <a:xfrm>
              <a:off x="9467850" y="17650982"/>
              <a:ext cx="476249" cy="293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sp macro="" textlink="">
        <xdr:nvSpPr>
          <xdr:cNvPr id="77" name="LINK_RENTAL_TOC">
            <a:hlinkClick xmlns:r="http://schemas.openxmlformats.org/officeDocument/2006/relationships" r:id="rId3"/>
            <a:extLst>
              <a:ext uri="{FF2B5EF4-FFF2-40B4-BE49-F238E27FC236}">
                <a16:creationId xmlns:a16="http://schemas.microsoft.com/office/drawing/2014/main" id="{00000000-0008-0000-0000-00004D000000}"/>
              </a:ext>
            </a:extLst>
          </xdr:cNvPr>
          <xdr:cNvSpPr/>
        </xdr:nvSpPr>
        <xdr:spPr>
          <a:xfrm>
            <a:off x="13411201" y="10125075"/>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grpSp>
    <xdr:clientData fPrintsWithSheet="0"/>
  </xdr:twoCellAnchor>
  <xdr:twoCellAnchor editAs="oneCell">
    <xdr:from>
      <xdr:col>21</xdr:col>
      <xdr:colOff>161925</xdr:colOff>
      <xdr:row>57</xdr:row>
      <xdr:rowOff>228600</xdr:rowOff>
    </xdr:from>
    <xdr:to>
      <xdr:col>24</xdr:col>
      <xdr:colOff>114300</xdr:colOff>
      <xdr:row>58</xdr:row>
      <xdr:rowOff>263525</xdr:rowOff>
    </xdr:to>
    <xdr:sp macro="" textlink="">
      <xdr:nvSpPr>
        <xdr:cNvPr id="57" name="LINK_RENTAL_TOC">
          <a:hlinkClick xmlns:r="http://schemas.openxmlformats.org/officeDocument/2006/relationships" r:id="rId3"/>
          <a:extLst>
            <a:ext uri="{FF2B5EF4-FFF2-40B4-BE49-F238E27FC236}">
              <a16:creationId xmlns:a16="http://schemas.microsoft.com/office/drawing/2014/main" id="{00000000-0008-0000-0000-000039000000}"/>
            </a:ext>
          </a:extLst>
        </xdr:cNvPr>
        <xdr:cNvSpPr/>
      </xdr:nvSpPr>
      <xdr:spPr>
        <a:xfrm>
          <a:off x="13420725" y="13020675"/>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clientData fPrintsWithSheet="0"/>
  </xdr:twoCellAnchor>
  <xdr:twoCellAnchor editAs="oneCell">
    <xdr:from>
      <xdr:col>21</xdr:col>
      <xdr:colOff>152400</xdr:colOff>
      <xdr:row>87</xdr:row>
      <xdr:rowOff>0</xdr:rowOff>
    </xdr:from>
    <xdr:to>
      <xdr:col>24</xdr:col>
      <xdr:colOff>111125</xdr:colOff>
      <xdr:row>88</xdr:row>
      <xdr:rowOff>34925</xdr:rowOff>
    </xdr:to>
    <xdr:sp macro="" textlink="">
      <xdr:nvSpPr>
        <xdr:cNvPr id="72" name="LINK_RENTAL_TOC">
          <a:hlinkClick xmlns:r="http://schemas.openxmlformats.org/officeDocument/2006/relationships" r:id="rId3"/>
          <a:extLst>
            <a:ext uri="{FF2B5EF4-FFF2-40B4-BE49-F238E27FC236}">
              <a16:creationId xmlns:a16="http://schemas.microsoft.com/office/drawing/2014/main" id="{00000000-0008-0000-0000-000048000000}"/>
            </a:ext>
          </a:extLst>
        </xdr:cNvPr>
        <xdr:cNvSpPr/>
      </xdr:nvSpPr>
      <xdr:spPr>
        <a:xfrm>
          <a:off x="14525625" y="15087600"/>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clientData fPrintsWithSheet="0"/>
  </xdr:twoCellAnchor>
  <xdr:twoCellAnchor editAs="oneCell">
    <xdr:from>
      <xdr:col>7</xdr:col>
      <xdr:colOff>66673</xdr:colOff>
      <xdr:row>19</xdr:row>
      <xdr:rowOff>247653</xdr:rowOff>
    </xdr:from>
    <xdr:to>
      <xdr:col>24</xdr:col>
      <xdr:colOff>55244</xdr:colOff>
      <xdr:row>25</xdr:row>
      <xdr:rowOff>19051</xdr:rowOff>
    </xdr:to>
    <xdr:grpSp>
      <xdr:nvGrpSpPr>
        <xdr:cNvPr id="330" name="TOC_FRAME">
          <a:extLst>
            <a:ext uri="{FF2B5EF4-FFF2-40B4-BE49-F238E27FC236}">
              <a16:creationId xmlns:a16="http://schemas.microsoft.com/office/drawing/2014/main" id="{00000000-0008-0000-0000-00004A010000}"/>
            </a:ext>
          </a:extLst>
        </xdr:cNvPr>
        <xdr:cNvGrpSpPr/>
      </xdr:nvGrpSpPr>
      <xdr:grpSpPr>
        <a:xfrm>
          <a:off x="68705" y="4087202"/>
          <a:ext cx="7930728" cy="1447798"/>
          <a:chOff x="8191498" y="1276170"/>
          <a:chExt cx="7370446" cy="1457417"/>
        </a:xfrm>
      </xdr:grpSpPr>
      <xdr:grpSp>
        <xdr:nvGrpSpPr>
          <xdr:cNvPr id="323" name="RENTAL_TABLE_OF_CONTENTS">
            <a:extLst>
              <a:ext uri="{FF2B5EF4-FFF2-40B4-BE49-F238E27FC236}">
                <a16:creationId xmlns:a16="http://schemas.microsoft.com/office/drawing/2014/main" id="{00000000-0008-0000-0000-000043010000}"/>
              </a:ext>
            </a:extLst>
          </xdr:cNvPr>
          <xdr:cNvGrpSpPr/>
        </xdr:nvGrpSpPr>
        <xdr:grpSpPr>
          <a:xfrm>
            <a:off x="8191500" y="1276170"/>
            <a:ext cx="7370444" cy="1457416"/>
            <a:chOff x="8191500" y="1276170"/>
            <a:chExt cx="7370444" cy="1457416"/>
          </a:xfrm>
        </xdr:grpSpPr>
        <xdr:sp macro="" textlink="">
          <xdr:nvSpPr>
            <xdr:cNvPr id="50" name="TOC_HEADER_BG">
              <a:extLst>
                <a:ext uri="{FF2B5EF4-FFF2-40B4-BE49-F238E27FC236}">
                  <a16:creationId xmlns:a16="http://schemas.microsoft.com/office/drawing/2014/main" id="{00000000-0008-0000-0000-000032000000}"/>
                </a:ext>
              </a:extLst>
            </xdr:cNvPr>
            <xdr:cNvSpPr/>
          </xdr:nvSpPr>
          <xdr:spPr>
            <a:xfrm>
              <a:off x="8201023" y="1601685"/>
              <a:ext cx="7360921" cy="275969"/>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a:latin typeface="Arial" pitchFamily="34" charset="0"/>
                <a:cs typeface="Arial" pitchFamily="34" charset="0"/>
              </a:endParaRPr>
            </a:p>
          </xdr:txBody>
        </xdr:sp>
        <xdr:grpSp>
          <xdr:nvGrpSpPr>
            <xdr:cNvPr id="28" name="TOC">
              <a:extLst>
                <a:ext uri="{FF2B5EF4-FFF2-40B4-BE49-F238E27FC236}">
                  <a16:creationId xmlns:a16="http://schemas.microsoft.com/office/drawing/2014/main" id="{00000000-0008-0000-0000-00001C000000}"/>
                </a:ext>
              </a:extLst>
            </xdr:cNvPr>
            <xdr:cNvGrpSpPr/>
          </xdr:nvGrpSpPr>
          <xdr:grpSpPr>
            <a:xfrm>
              <a:off x="8191500" y="1276170"/>
              <a:ext cx="7362825" cy="1457416"/>
              <a:chOff x="9239250" y="1816952"/>
              <a:chExt cx="7362825" cy="1123679"/>
            </a:xfrm>
            <a:effectLst/>
          </xdr:grpSpPr>
          <xdr:sp macro="" textlink="">
            <xdr:nvSpPr>
              <xdr:cNvPr id="31" name="Rectangle 30">
                <a:extLst>
                  <a:ext uri="{FF2B5EF4-FFF2-40B4-BE49-F238E27FC236}">
                    <a16:creationId xmlns:a16="http://schemas.microsoft.com/office/drawing/2014/main" id="{00000000-0008-0000-0000-00001F000000}"/>
                  </a:ext>
                </a:extLst>
              </xdr:cNvPr>
              <xdr:cNvSpPr/>
            </xdr:nvSpPr>
            <xdr:spPr>
              <a:xfrm>
                <a:off x="9239250" y="2052092"/>
                <a:ext cx="7362825" cy="888539"/>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a:latin typeface="Arial" pitchFamily="34" charset="0"/>
                  <a:cs typeface="Arial" pitchFamily="34" charset="0"/>
                </a:endParaRPr>
              </a:p>
            </xdr:txBody>
          </xdr:sp>
          <xdr:sp macro="" textlink="">
            <xdr:nvSpPr>
              <xdr:cNvPr id="45" name="TOC_TITLE">
                <a:extLst>
                  <a:ext uri="{FF2B5EF4-FFF2-40B4-BE49-F238E27FC236}">
                    <a16:creationId xmlns:a16="http://schemas.microsoft.com/office/drawing/2014/main" id="{00000000-0008-0000-0000-00002D000000}"/>
                  </a:ext>
                </a:extLst>
              </xdr:cNvPr>
              <xdr:cNvSpPr/>
            </xdr:nvSpPr>
            <xdr:spPr>
              <a:xfrm>
                <a:off x="9239250" y="1816952"/>
                <a:ext cx="7360920" cy="244295"/>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r>
                  <a:rPr lang="en-US" sz="1100" b="1">
                    <a:solidFill>
                      <a:schemeClr val="bg1"/>
                    </a:solidFill>
                    <a:latin typeface="Arial" pitchFamily="34" charset="0"/>
                    <a:cs typeface="Arial" pitchFamily="34" charset="0"/>
                  </a:rPr>
                  <a:t>Table of Contents</a:t>
                </a:r>
              </a:p>
            </xdr:txBody>
          </xdr:sp>
        </xdr:grpSp>
        <xdr:sp macro="" textlink="">
          <xdr:nvSpPr>
            <xdr:cNvPr id="51" name="TOC_HEADER_LABEL_1">
              <a:extLst>
                <a:ext uri="{FF2B5EF4-FFF2-40B4-BE49-F238E27FC236}">
                  <a16:creationId xmlns:a16="http://schemas.microsoft.com/office/drawing/2014/main" id="{00000000-0008-0000-0000-000033000000}"/>
                </a:ext>
              </a:extLst>
            </xdr:cNvPr>
            <xdr:cNvSpPr txBox="1"/>
          </xdr:nvSpPr>
          <xdr:spPr>
            <a:xfrm>
              <a:off x="8302028" y="1630443"/>
              <a:ext cx="2137372" cy="2644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lIns="0" rtlCol="0" anchor="t">
              <a:noAutofit/>
            </a:bodyPr>
            <a:lstStyle/>
            <a:p>
              <a:r>
                <a:rPr lang="en-US" sz="900" b="1">
                  <a:latin typeface="Arial" pitchFamily="34" charset="0"/>
                  <a:cs typeface="Arial" pitchFamily="34" charset="0"/>
                </a:rPr>
                <a:t>Section</a:t>
              </a:r>
            </a:p>
          </xdr:txBody>
        </xdr:sp>
        <xdr:sp macro="" textlink="">
          <xdr:nvSpPr>
            <xdr:cNvPr id="52" name="TOC_HEADER_LABEL_1">
              <a:extLst>
                <a:ext uri="{FF2B5EF4-FFF2-40B4-BE49-F238E27FC236}">
                  <a16:creationId xmlns:a16="http://schemas.microsoft.com/office/drawing/2014/main" id="{00000000-0008-0000-0000-000034000000}"/>
                </a:ext>
              </a:extLst>
            </xdr:cNvPr>
            <xdr:cNvSpPr txBox="1"/>
          </xdr:nvSpPr>
          <xdr:spPr>
            <a:xfrm>
              <a:off x="10988755" y="1630443"/>
              <a:ext cx="876784" cy="2644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t">
              <a:noAutofit/>
            </a:bodyPr>
            <a:lstStyle/>
            <a:p>
              <a:r>
                <a:rPr lang="en-US" sz="900" b="1">
                  <a:latin typeface="Arial" pitchFamily="34" charset="0"/>
                  <a:cs typeface="Arial" pitchFamily="34" charset="0"/>
                </a:rPr>
                <a:t>Progress</a:t>
              </a:r>
            </a:p>
          </xdr:txBody>
        </xdr:sp>
        <xdr:sp macro="" textlink="">
          <xdr:nvSpPr>
            <xdr:cNvPr id="53" name="TOC_HEADER_LABEL_3">
              <a:extLst>
                <a:ext uri="{FF2B5EF4-FFF2-40B4-BE49-F238E27FC236}">
                  <a16:creationId xmlns:a16="http://schemas.microsoft.com/office/drawing/2014/main" id="{00000000-0008-0000-0000-000035000000}"/>
                </a:ext>
              </a:extLst>
            </xdr:cNvPr>
            <xdr:cNvSpPr txBox="1"/>
          </xdr:nvSpPr>
          <xdr:spPr>
            <a:xfrm>
              <a:off x="11990098" y="1630443"/>
              <a:ext cx="1226450" cy="2644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lIns="0" rtlCol="0" anchor="t">
              <a:noAutofit/>
            </a:bodyPr>
            <a:lstStyle/>
            <a:p>
              <a:r>
                <a:rPr lang="en-US" sz="900" b="1">
                  <a:latin typeface="Arial" pitchFamily="34" charset="0"/>
                  <a:cs typeface="Arial" pitchFamily="34" charset="0"/>
                </a:rPr>
                <a:t>Section</a:t>
              </a:r>
            </a:p>
          </xdr:txBody>
        </xdr:sp>
        <xdr:sp macro="" textlink="">
          <xdr:nvSpPr>
            <xdr:cNvPr id="54" name="TOC_HEADER_LABEL_4">
              <a:extLst>
                <a:ext uri="{FF2B5EF4-FFF2-40B4-BE49-F238E27FC236}">
                  <a16:creationId xmlns:a16="http://schemas.microsoft.com/office/drawing/2014/main" id="{00000000-0008-0000-0000-000036000000}"/>
                </a:ext>
              </a:extLst>
            </xdr:cNvPr>
            <xdr:cNvSpPr txBox="1"/>
          </xdr:nvSpPr>
          <xdr:spPr>
            <a:xfrm>
              <a:off x="14554212" y="1630443"/>
              <a:ext cx="871248" cy="2644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t">
              <a:noAutofit/>
            </a:bodyPr>
            <a:lstStyle/>
            <a:p>
              <a:r>
                <a:rPr lang="en-US" sz="900" b="1">
                  <a:latin typeface="Arial" pitchFamily="34" charset="0"/>
                  <a:cs typeface="Arial" pitchFamily="34" charset="0"/>
                </a:rPr>
                <a:t>Progress</a:t>
              </a:r>
            </a:p>
          </xdr:txBody>
        </xdr:sp>
      </xdr:grpSp>
      <xdr:cxnSp macro="">
        <xdr:nvCxnSpPr>
          <xdr:cNvPr id="56" name="TOC_HEADER_VLINE">
            <a:extLst>
              <a:ext uri="{FF2B5EF4-FFF2-40B4-BE49-F238E27FC236}">
                <a16:creationId xmlns:a16="http://schemas.microsoft.com/office/drawing/2014/main" id="{00000000-0008-0000-0000-000038000000}"/>
              </a:ext>
            </a:extLst>
          </xdr:cNvPr>
          <xdr:cNvCxnSpPr>
            <a:endCxn id="31" idx="2"/>
          </xdr:cNvCxnSpPr>
        </xdr:nvCxnSpPr>
        <xdr:spPr>
          <a:xfrm>
            <a:off x="11870737" y="1596774"/>
            <a:ext cx="2176" cy="1136813"/>
          </a:xfrm>
          <a:prstGeom prst="line">
            <a:avLst/>
          </a:prstGeom>
          <a:ln>
            <a:solidFill>
              <a:schemeClr val="bg1">
                <a:lumMod val="75000"/>
              </a:schemeClr>
            </a:solidFill>
          </a:ln>
          <a:effectLst>
            <a:innerShdw blurRad="63500" dist="50800" dir="13500000">
              <a:prstClr val="black">
                <a:alpha val="50000"/>
              </a:prstClr>
            </a:innerShdw>
          </a:effectLst>
        </xdr:spPr>
        <xdr:style>
          <a:lnRef idx="1">
            <a:schemeClr val="accent1"/>
          </a:lnRef>
          <a:fillRef idx="0">
            <a:schemeClr val="accent1"/>
          </a:fillRef>
          <a:effectRef idx="0">
            <a:schemeClr val="accent1"/>
          </a:effectRef>
          <a:fontRef idx="minor">
            <a:schemeClr val="tx1"/>
          </a:fontRef>
        </xdr:style>
      </xdr:cxnSp>
      <xdr:grpSp>
        <xdr:nvGrpSpPr>
          <xdr:cNvPr id="273" name="TOC_HORIZONTAL_DIVIDERS">
            <a:extLst>
              <a:ext uri="{FF2B5EF4-FFF2-40B4-BE49-F238E27FC236}">
                <a16:creationId xmlns:a16="http://schemas.microsoft.com/office/drawing/2014/main" id="{00000000-0008-0000-0000-000011010000}"/>
              </a:ext>
            </a:extLst>
          </xdr:cNvPr>
          <xdr:cNvGrpSpPr/>
        </xdr:nvGrpSpPr>
        <xdr:grpSpPr>
          <a:xfrm>
            <a:off x="8191498" y="2152468"/>
            <a:ext cx="7362825" cy="276225"/>
            <a:chOff x="8191498" y="2152468"/>
            <a:chExt cx="7362825" cy="276225"/>
          </a:xfrm>
        </xdr:grpSpPr>
        <xdr:cxnSp macro="">
          <xdr:nvCxnSpPr>
            <xdr:cNvPr id="207" name="DOTTED_LINE">
              <a:extLst>
                <a:ext uri="{FF2B5EF4-FFF2-40B4-BE49-F238E27FC236}">
                  <a16:creationId xmlns:a16="http://schemas.microsoft.com/office/drawing/2014/main" id="{00000000-0008-0000-0000-0000CF000000}"/>
                </a:ext>
              </a:extLst>
            </xdr:cNvPr>
            <xdr:cNvCxnSpPr/>
          </xdr:nvCxnSpPr>
          <xdr:spPr>
            <a:xfrm flipH="1">
              <a:off x="8191498" y="2152468"/>
              <a:ext cx="7362825" cy="0"/>
            </a:xfrm>
            <a:prstGeom prst="line">
              <a:avLst/>
            </a:prstGeom>
            <a:ln w="9525" cap="rnd">
              <a:solidFill>
                <a:schemeClr val="bg1">
                  <a:lumMod val="85000"/>
                </a:schemeClr>
              </a:solidFill>
              <a:prstDash val="solid"/>
              <a:round/>
            </a:ln>
          </xdr:spPr>
          <xdr:style>
            <a:lnRef idx="1">
              <a:schemeClr val="dk1"/>
            </a:lnRef>
            <a:fillRef idx="0">
              <a:schemeClr val="dk1"/>
            </a:fillRef>
            <a:effectRef idx="0">
              <a:schemeClr val="dk1"/>
            </a:effectRef>
            <a:fontRef idx="minor">
              <a:schemeClr val="tx1"/>
            </a:fontRef>
          </xdr:style>
        </xdr:cxnSp>
        <xdr:cxnSp macro="">
          <xdr:nvCxnSpPr>
            <xdr:cNvPr id="239" name="DOTTED_LINE">
              <a:extLst>
                <a:ext uri="{FF2B5EF4-FFF2-40B4-BE49-F238E27FC236}">
                  <a16:creationId xmlns:a16="http://schemas.microsoft.com/office/drawing/2014/main" id="{00000000-0008-0000-0000-0000EF000000}"/>
                </a:ext>
              </a:extLst>
            </xdr:cNvPr>
            <xdr:cNvCxnSpPr/>
          </xdr:nvCxnSpPr>
          <xdr:spPr>
            <a:xfrm flipH="1">
              <a:off x="8191498" y="2428693"/>
              <a:ext cx="7360920" cy="0"/>
            </a:xfrm>
            <a:prstGeom prst="line">
              <a:avLst/>
            </a:prstGeom>
            <a:ln w="9525" cap="rnd">
              <a:solidFill>
                <a:schemeClr val="bg1">
                  <a:lumMod val="85000"/>
                </a:schemeClr>
              </a:solidFill>
              <a:prstDash val="solid"/>
              <a:round/>
            </a:ln>
          </xdr:spPr>
          <xdr:style>
            <a:lnRef idx="1">
              <a:schemeClr val="dk1"/>
            </a:lnRef>
            <a:fillRef idx="0">
              <a:schemeClr val="dk1"/>
            </a:fillRef>
            <a:effectRef idx="0">
              <a:schemeClr val="dk1"/>
            </a:effectRef>
            <a:fontRef idx="minor">
              <a:schemeClr val="tx1"/>
            </a:fontRef>
          </xdr:style>
        </xdr:cxnSp>
      </xdr:grpSp>
    </xdr:grpSp>
    <xdr:clientData fPrintsWithSheet="0"/>
  </xdr:twoCellAnchor>
  <xdr:twoCellAnchor editAs="oneCell">
    <xdr:from>
      <xdr:col>20</xdr:col>
      <xdr:colOff>66675</xdr:colOff>
      <xdr:row>2</xdr:row>
      <xdr:rowOff>9525</xdr:rowOff>
    </xdr:from>
    <xdr:to>
      <xdr:col>24</xdr:col>
      <xdr:colOff>109538</xdr:colOff>
      <xdr:row>3</xdr:row>
      <xdr:rowOff>1905</xdr:rowOff>
    </xdr:to>
    <xdr:sp macro="" textlink="$B$7">
      <xdr:nvSpPr>
        <xdr:cNvPr id="217" name="HEADER_BANNER_SUBTITLE">
          <a:extLst>
            <a:ext uri="{FF2B5EF4-FFF2-40B4-BE49-F238E27FC236}">
              <a16:creationId xmlns:a16="http://schemas.microsoft.com/office/drawing/2014/main" id="{00000000-0008-0000-0000-0000D9000000}"/>
            </a:ext>
          </a:extLst>
        </xdr:cNvPr>
        <xdr:cNvSpPr txBox="1"/>
      </xdr:nvSpPr>
      <xdr:spPr>
        <a:xfrm>
          <a:off x="13725525" y="561975"/>
          <a:ext cx="1833563" cy="182880"/>
        </a:xfrm>
        <a:prstGeom prst="rect">
          <a:avLst/>
        </a:prstGeom>
        <a:solidFill>
          <a:srgbClr val="00305E"/>
        </a:solid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fld id="{4B39128B-4B37-4567-8AC7-02473171A03C}" type="TxLink">
            <a:rPr lang="en-US" sz="700" b="1" i="0" u="none" strike="noStrike">
              <a:solidFill>
                <a:schemeClr val="bg1"/>
              </a:solidFill>
              <a:latin typeface="Arial" pitchFamily="34" charset="0"/>
              <a:cs typeface="Arial" pitchFamily="34" charset="0"/>
            </a:rPr>
            <a:pPr algn="ctr"/>
            <a:t>MDPA Program</a:t>
          </a:fld>
          <a:endParaRPr lang="en-US" sz="700" b="1" i="0" u="none" strike="noStrike">
            <a:solidFill>
              <a:schemeClr val="bg1"/>
            </a:solidFill>
            <a:latin typeface="Arial" pitchFamily="34" charset="0"/>
            <a:cs typeface="Arial" pitchFamily="34" charset="0"/>
          </a:endParaRPr>
        </a:p>
      </xdr:txBody>
    </xdr:sp>
    <xdr:clientData/>
  </xdr:twoCellAnchor>
  <xdr:twoCellAnchor editAs="oneCell">
    <xdr:from>
      <xdr:col>7</xdr:col>
      <xdr:colOff>73330</xdr:colOff>
      <xdr:row>0</xdr:row>
      <xdr:rowOff>37735</xdr:rowOff>
    </xdr:from>
    <xdr:to>
      <xdr:col>10</xdr:col>
      <xdr:colOff>264236</xdr:colOff>
      <xdr:row>0</xdr:row>
      <xdr:rowOff>480458</xdr:rowOff>
    </xdr:to>
    <xdr:pic>
      <xdr:nvPicPr>
        <xdr:cNvPr id="218" name="COMPANY_LOGO" descr="Medium.gif">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4" cstate="print"/>
        <a:stretch>
          <a:fillRect/>
        </a:stretch>
      </xdr:blipFill>
      <xdr:spPr>
        <a:xfrm>
          <a:off x="8198155" y="37735"/>
          <a:ext cx="1238656" cy="442723"/>
        </a:xfrm>
        <a:prstGeom prst="rect">
          <a:avLst/>
        </a:prstGeom>
      </xdr:spPr>
    </xdr:pic>
    <xdr:clientData/>
  </xdr:twoCellAnchor>
  <xdr:twoCellAnchor editAs="oneCell">
    <xdr:from>
      <xdr:col>7</xdr:col>
      <xdr:colOff>9527</xdr:colOff>
      <xdr:row>0</xdr:row>
      <xdr:rowOff>1173</xdr:rowOff>
    </xdr:from>
    <xdr:to>
      <xdr:col>24</xdr:col>
      <xdr:colOff>95250</xdr:colOff>
      <xdr:row>4</xdr:row>
      <xdr:rowOff>1821</xdr:rowOff>
    </xdr:to>
    <xdr:sp macro="" textlink="">
      <xdr:nvSpPr>
        <xdr:cNvPr id="309" name="HEADER_SHORTCUT_TOP">
          <a:hlinkClick xmlns:r="http://schemas.openxmlformats.org/officeDocument/2006/relationships" r:id="rId3"/>
          <a:extLst>
            <a:ext uri="{FF2B5EF4-FFF2-40B4-BE49-F238E27FC236}">
              <a16:creationId xmlns:a16="http://schemas.microsoft.com/office/drawing/2014/main" id="{00000000-0008-0000-0000-000035010000}"/>
            </a:ext>
          </a:extLst>
        </xdr:cNvPr>
        <xdr:cNvSpPr/>
      </xdr:nvSpPr>
      <xdr:spPr>
        <a:xfrm>
          <a:off x="8134352" y="1173"/>
          <a:ext cx="7477122" cy="781698"/>
        </a:xfrm>
        <a:prstGeom prst="rect">
          <a:avLst/>
        </a:prstGeom>
        <a:solidFill>
          <a:schemeClr val="bg1">
            <a:alpha val="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700">
            <a:latin typeface="Arial" pitchFamily="34" charset="0"/>
            <a:cs typeface="Arial" pitchFamily="34" charset="0"/>
          </a:endParaRPr>
        </a:p>
      </xdr:txBody>
    </xdr:sp>
    <xdr:clientData fPrintsWithSheet="0"/>
  </xdr:twoCellAnchor>
  <xdr:twoCellAnchor editAs="oneCell">
    <xdr:from>
      <xdr:col>21</xdr:col>
      <xdr:colOff>152400</xdr:colOff>
      <xdr:row>65</xdr:row>
      <xdr:rowOff>247650</xdr:rowOff>
    </xdr:from>
    <xdr:to>
      <xdr:col>24</xdr:col>
      <xdr:colOff>111125</xdr:colOff>
      <xdr:row>67</xdr:row>
      <xdr:rowOff>0</xdr:rowOff>
    </xdr:to>
    <xdr:sp macro="" textlink="">
      <xdr:nvSpPr>
        <xdr:cNvPr id="205" name="LINK_RENTAL_TOC">
          <a:hlinkClick xmlns:r="http://schemas.openxmlformats.org/officeDocument/2006/relationships" r:id="rId3"/>
          <a:extLst>
            <a:ext uri="{FF2B5EF4-FFF2-40B4-BE49-F238E27FC236}">
              <a16:creationId xmlns:a16="http://schemas.microsoft.com/office/drawing/2014/main" id="{00000000-0008-0000-0000-0000CD000000}"/>
            </a:ext>
          </a:extLst>
        </xdr:cNvPr>
        <xdr:cNvSpPr/>
      </xdr:nvSpPr>
      <xdr:spPr>
        <a:xfrm>
          <a:off x="13411200" y="19040475"/>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clientData fPrintsWithSheet="0"/>
  </xdr:twoCellAnchor>
  <xdr:oneCellAnchor>
    <xdr:from>
      <xdr:col>16</xdr:col>
      <xdr:colOff>333376</xdr:colOff>
      <xdr:row>23</xdr:row>
      <xdr:rowOff>9525</xdr:rowOff>
    </xdr:from>
    <xdr:ext cx="2152650" cy="264560"/>
    <xdr:sp macro="" textlink="$G$81">
      <xdr:nvSpPr>
        <xdr:cNvPr id="437" name="TOC_SECTION_LINK">
          <a:hlinkClick xmlns:r="http://schemas.openxmlformats.org/officeDocument/2006/relationships" r:id="rId5"/>
          <a:extLst>
            <a:ext uri="{FF2B5EF4-FFF2-40B4-BE49-F238E27FC236}">
              <a16:creationId xmlns:a16="http://schemas.microsoft.com/office/drawing/2014/main" id="{00000000-0008-0000-0000-0000B5010000}"/>
            </a:ext>
          </a:extLst>
        </xdr:cNvPr>
        <xdr:cNvSpPr txBox="1"/>
      </xdr:nvSpPr>
      <xdr:spPr>
        <a:xfrm>
          <a:off x="11087101" y="4371975"/>
          <a:ext cx="2152650"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88667427-0150-4A33-B76C-B29F07EC3B00}" type="TxLink">
            <a:rPr lang="en-US" sz="900" b="1" i="0" u="sng" strike="noStrike">
              <a:solidFill>
                <a:srgbClr val="366092"/>
              </a:solidFill>
              <a:latin typeface="Arial"/>
              <a:cs typeface="Arial"/>
            </a:rPr>
            <a:pPr algn="l"/>
            <a:t>Mortgage Information</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twoCellAnchor editAs="oneCell">
    <xdr:from>
      <xdr:col>7</xdr:col>
      <xdr:colOff>19050</xdr:colOff>
      <xdr:row>97</xdr:row>
      <xdr:rowOff>257175</xdr:rowOff>
    </xdr:from>
    <xdr:to>
      <xdr:col>24</xdr:col>
      <xdr:colOff>92699</xdr:colOff>
      <xdr:row>98</xdr:row>
      <xdr:rowOff>263525</xdr:rowOff>
    </xdr:to>
    <xdr:grpSp>
      <xdr:nvGrpSpPr>
        <xdr:cNvPr id="58" name="Group 57">
          <a:extLst>
            <a:ext uri="{FF2B5EF4-FFF2-40B4-BE49-F238E27FC236}">
              <a16:creationId xmlns:a16="http://schemas.microsoft.com/office/drawing/2014/main" id="{00000000-0008-0000-0000-00003A000000}"/>
            </a:ext>
          </a:extLst>
        </xdr:cNvPr>
        <xdr:cNvGrpSpPr/>
      </xdr:nvGrpSpPr>
      <xdr:grpSpPr>
        <a:xfrm>
          <a:off x="19812" y="26031656"/>
          <a:ext cx="8018600" cy="285496"/>
          <a:chOff x="9296399" y="16259175"/>
          <a:chExt cx="7452359" cy="731063"/>
        </a:xfrm>
      </xdr:grpSpPr>
      <xdr:sp macro="" textlink="$B$6">
        <xdr:nvSpPr>
          <xdr:cNvPr id="59" name="FOOTER_BG">
            <a:extLst>
              <a:ext uri="{FF2B5EF4-FFF2-40B4-BE49-F238E27FC236}">
                <a16:creationId xmlns:a16="http://schemas.microsoft.com/office/drawing/2014/main" id="{00000000-0008-0000-0000-00003B000000}"/>
              </a:ext>
            </a:extLst>
          </xdr:cNvPr>
          <xdr:cNvSpPr/>
        </xdr:nvSpPr>
        <xdr:spPr>
          <a:xfrm>
            <a:off x="9296399" y="16259179"/>
            <a:ext cx="7452359" cy="731059"/>
          </a:xfrm>
          <a:prstGeom prst="rect">
            <a:avLst/>
          </a:prstGeom>
          <a:solidFill>
            <a:srgbClr val="A6CE43"/>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r"/>
            <a:fld id="{9D475FDD-6A01-4936-9B12-63E9A077FDAB}" type="TxLink">
              <a:rPr lang="en-US" sz="900" b="1" i="0" u="none" strike="noStrike">
                <a:solidFill>
                  <a:schemeClr val="bg1"/>
                </a:solidFill>
                <a:latin typeface="Arial"/>
                <a:cs typeface="Arial"/>
              </a:rPr>
              <a:pPr algn="r"/>
              <a:t>MDPA Program | Certification and Disbursement Request Attachment 1</a:t>
            </a:fld>
            <a:endParaRPr lang="en-US" sz="900" b="1" i="0">
              <a:solidFill>
                <a:schemeClr val="bg1"/>
              </a:solidFill>
              <a:latin typeface="Arial" pitchFamily="34" charset="0"/>
              <a:cs typeface="Arial" pitchFamily="34" charset="0"/>
            </a:endParaRPr>
          </a:p>
        </xdr:txBody>
      </xdr:sp>
      <xdr:sp macro="" textlink="">
        <xdr:nvSpPr>
          <xdr:cNvPr id="60" name="FOOTER_LINK_PAGETOP">
            <a:hlinkClick xmlns:r="http://schemas.openxmlformats.org/officeDocument/2006/relationships" r:id="rId3"/>
            <a:extLst>
              <a:ext uri="{FF2B5EF4-FFF2-40B4-BE49-F238E27FC236}">
                <a16:creationId xmlns:a16="http://schemas.microsoft.com/office/drawing/2014/main" id="{00000000-0008-0000-0000-00003C000000}"/>
              </a:ext>
            </a:extLst>
          </xdr:cNvPr>
          <xdr:cNvSpPr/>
        </xdr:nvSpPr>
        <xdr:spPr>
          <a:xfrm>
            <a:off x="9296399" y="16259175"/>
            <a:ext cx="1126715" cy="73105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900" b="1" u="none">
                <a:latin typeface="Arial" pitchFamily="34" charset="0"/>
                <a:cs typeface="Arial" pitchFamily="34" charset="0"/>
              </a:rPr>
              <a:t>^ Back to Top</a:t>
            </a:r>
          </a:p>
        </xdr:txBody>
      </xdr:sp>
    </xdr:grpSp>
    <xdr:clientData fPrintsWithSheet="0"/>
  </xdr:twoCellAnchor>
  <xdr:twoCellAnchor>
    <xdr:from>
      <xdr:col>10</xdr:col>
      <xdr:colOff>66675</xdr:colOff>
      <xdr:row>51</xdr:row>
      <xdr:rowOff>142875</xdr:rowOff>
    </xdr:from>
    <xdr:to>
      <xdr:col>19</xdr:col>
      <xdr:colOff>114300</xdr:colOff>
      <xdr:row>51</xdr:row>
      <xdr:rowOff>142875</xdr:rowOff>
    </xdr:to>
    <xdr:cxnSp macro="">
      <xdr:nvCxnSpPr>
        <xdr:cNvPr id="65" name="DOTTED_LINE">
          <a:extLst>
            <a:ext uri="{FF2B5EF4-FFF2-40B4-BE49-F238E27FC236}">
              <a16:creationId xmlns:a16="http://schemas.microsoft.com/office/drawing/2014/main" id="{00000000-0008-0000-0000-000041000000}"/>
            </a:ext>
          </a:extLst>
        </xdr:cNvPr>
        <xdr:cNvCxnSpPr/>
      </xdr:nvCxnSpPr>
      <xdr:spPr>
        <a:xfrm>
          <a:off x="9248775" y="8896350"/>
          <a:ext cx="43434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276225</xdr:colOff>
      <xdr:row>53</xdr:row>
      <xdr:rowOff>142875</xdr:rowOff>
    </xdr:from>
    <xdr:to>
      <xdr:col>19</xdr:col>
      <xdr:colOff>114300</xdr:colOff>
      <xdr:row>53</xdr:row>
      <xdr:rowOff>142875</xdr:rowOff>
    </xdr:to>
    <xdr:cxnSp macro="">
      <xdr:nvCxnSpPr>
        <xdr:cNvPr id="67" name="DOTTED_LINE">
          <a:extLst>
            <a:ext uri="{FF2B5EF4-FFF2-40B4-BE49-F238E27FC236}">
              <a16:creationId xmlns:a16="http://schemas.microsoft.com/office/drawing/2014/main" id="{00000000-0008-0000-0000-000043000000}"/>
            </a:ext>
          </a:extLst>
        </xdr:cNvPr>
        <xdr:cNvCxnSpPr/>
      </xdr:nvCxnSpPr>
      <xdr:spPr>
        <a:xfrm>
          <a:off x="4914900" y="11277600"/>
          <a:ext cx="5524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85725</xdr:colOff>
      <xdr:row>54</xdr:row>
      <xdr:rowOff>142875</xdr:rowOff>
    </xdr:from>
    <xdr:to>
      <xdr:col>19</xdr:col>
      <xdr:colOff>114300</xdr:colOff>
      <xdr:row>54</xdr:row>
      <xdr:rowOff>142875</xdr:rowOff>
    </xdr:to>
    <xdr:cxnSp macro="">
      <xdr:nvCxnSpPr>
        <xdr:cNvPr id="69" name="DOTTED_LINE">
          <a:extLst>
            <a:ext uri="{FF2B5EF4-FFF2-40B4-BE49-F238E27FC236}">
              <a16:creationId xmlns:a16="http://schemas.microsoft.com/office/drawing/2014/main" id="{00000000-0008-0000-0000-000045000000}"/>
            </a:ext>
          </a:extLst>
        </xdr:cNvPr>
        <xdr:cNvCxnSpPr/>
      </xdr:nvCxnSpPr>
      <xdr:spPr>
        <a:xfrm>
          <a:off x="4724400" y="11553825"/>
          <a:ext cx="7429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552450</xdr:colOff>
      <xdr:row>50</xdr:row>
      <xdr:rowOff>142875</xdr:rowOff>
    </xdr:from>
    <xdr:to>
      <xdr:col>19</xdr:col>
      <xdr:colOff>114300</xdr:colOff>
      <xdr:row>50</xdr:row>
      <xdr:rowOff>142875</xdr:rowOff>
    </xdr:to>
    <xdr:cxnSp macro="">
      <xdr:nvCxnSpPr>
        <xdr:cNvPr id="71" name="DOTTED_LINE">
          <a:extLst>
            <a:ext uri="{FF2B5EF4-FFF2-40B4-BE49-F238E27FC236}">
              <a16:creationId xmlns:a16="http://schemas.microsoft.com/office/drawing/2014/main" id="{00000000-0008-0000-0000-000047000000}"/>
            </a:ext>
          </a:extLst>
        </xdr:cNvPr>
        <xdr:cNvCxnSpPr/>
      </xdr:nvCxnSpPr>
      <xdr:spPr>
        <a:xfrm>
          <a:off x="12420600" y="9725025"/>
          <a:ext cx="11715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180975</xdr:colOff>
      <xdr:row>71</xdr:row>
      <xdr:rowOff>152400</xdr:rowOff>
    </xdr:from>
    <xdr:to>
      <xdr:col>21</xdr:col>
      <xdr:colOff>114300</xdr:colOff>
      <xdr:row>71</xdr:row>
      <xdr:rowOff>152400</xdr:rowOff>
    </xdr:to>
    <xdr:cxnSp macro="">
      <xdr:nvCxnSpPr>
        <xdr:cNvPr id="74" name="DOTTED_LINE">
          <a:extLst>
            <a:ext uri="{FF2B5EF4-FFF2-40B4-BE49-F238E27FC236}">
              <a16:creationId xmlns:a16="http://schemas.microsoft.com/office/drawing/2014/main" id="{00000000-0008-0000-0000-00004A000000}"/>
            </a:ext>
          </a:extLst>
        </xdr:cNvPr>
        <xdr:cNvCxnSpPr/>
      </xdr:nvCxnSpPr>
      <xdr:spPr>
        <a:xfrm>
          <a:off x="10258425" y="14982825"/>
          <a:ext cx="42291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38100</xdr:colOff>
      <xdr:row>40</xdr:row>
      <xdr:rowOff>142875</xdr:rowOff>
    </xdr:from>
    <xdr:to>
      <xdr:col>17</xdr:col>
      <xdr:colOff>123825</xdr:colOff>
      <xdr:row>40</xdr:row>
      <xdr:rowOff>142875</xdr:rowOff>
    </xdr:to>
    <xdr:cxnSp macro="">
      <xdr:nvCxnSpPr>
        <xdr:cNvPr id="76" name="DOTTED_LINE">
          <a:extLst>
            <a:ext uri="{FF2B5EF4-FFF2-40B4-BE49-F238E27FC236}">
              <a16:creationId xmlns:a16="http://schemas.microsoft.com/office/drawing/2014/main" id="{00000000-0008-0000-0000-00004C000000}"/>
            </a:ext>
          </a:extLst>
        </xdr:cNvPr>
        <xdr:cNvCxnSpPr/>
      </xdr:nvCxnSpPr>
      <xdr:spPr>
        <a:xfrm>
          <a:off x="9934575" y="6962775"/>
          <a:ext cx="27717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19050</xdr:colOff>
      <xdr:row>72</xdr:row>
      <xdr:rowOff>152400</xdr:rowOff>
    </xdr:from>
    <xdr:to>
      <xdr:col>21</xdr:col>
      <xdr:colOff>114300</xdr:colOff>
      <xdr:row>72</xdr:row>
      <xdr:rowOff>152400</xdr:rowOff>
    </xdr:to>
    <xdr:cxnSp macro="">
      <xdr:nvCxnSpPr>
        <xdr:cNvPr id="68" name="DOTTED_LINE">
          <a:extLst>
            <a:ext uri="{FF2B5EF4-FFF2-40B4-BE49-F238E27FC236}">
              <a16:creationId xmlns:a16="http://schemas.microsoft.com/office/drawing/2014/main" id="{00000000-0008-0000-0000-000044000000}"/>
            </a:ext>
          </a:extLst>
        </xdr:cNvPr>
        <xdr:cNvCxnSpPr/>
      </xdr:nvCxnSpPr>
      <xdr:spPr>
        <a:xfrm>
          <a:off x="9201150" y="16087725"/>
          <a:ext cx="52863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85725</xdr:colOff>
      <xdr:row>81</xdr:row>
      <xdr:rowOff>171450</xdr:rowOff>
    </xdr:from>
    <xdr:to>
      <xdr:col>21</xdr:col>
      <xdr:colOff>133350</xdr:colOff>
      <xdr:row>81</xdr:row>
      <xdr:rowOff>171450</xdr:rowOff>
    </xdr:to>
    <xdr:cxnSp macro="">
      <xdr:nvCxnSpPr>
        <xdr:cNvPr id="75" name="DOTTED_LINE">
          <a:extLst>
            <a:ext uri="{FF2B5EF4-FFF2-40B4-BE49-F238E27FC236}">
              <a16:creationId xmlns:a16="http://schemas.microsoft.com/office/drawing/2014/main" id="{00000000-0008-0000-0000-00004B000000}"/>
            </a:ext>
          </a:extLst>
        </xdr:cNvPr>
        <xdr:cNvCxnSpPr/>
      </xdr:nvCxnSpPr>
      <xdr:spPr>
        <a:xfrm>
          <a:off x="10163175" y="21355050"/>
          <a:ext cx="43434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609600</xdr:colOff>
      <xdr:row>90</xdr:row>
      <xdr:rowOff>152400</xdr:rowOff>
    </xdr:from>
    <xdr:to>
      <xdr:col>21</xdr:col>
      <xdr:colOff>114300</xdr:colOff>
      <xdr:row>90</xdr:row>
      <xdr:rowOff>152400</xdr:rowOff>
    </xdr:to>
    <xdr:cxnSp macro="">
      <xdr:nvCxnSpPr>
        <xdr:cNvPr id="82" name="DOTTED_LINE">
          <a:extLst>
            <a:ext uri="{FF2B5EF4-FFF2-40B4-BE49-F238E27FC236}">
              <a16:creationId xmlns:a16="http://schemas.microsoft.com/office/drawing/2014/main" id="{00000000-0008-0000-0000-000052000000}"/>
            </a:ext>
          </a:extLst>
        </xdr:cNvPr>
        <xdr:cNvCxnSpPr/>
      </xdr:nvCxnSpPr>
      <xdr:spPr>
        <a:xfrm>
          <a:off x="12477750" y="30451425"/>
          <a:ext cx="20097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9525</xdr:colOff>
      <xdr:row>37</xdr:row>
      <xdr:rowOff>152400</xdr:rowOff>
    </xdr:from>
    <xdr:to>
      <xdr:col>17</xdr:col>
      <xdr:colOff>95250</xdr:colOff>
      <xdr:row>37</xdr:row>
      <xdr:rowOff>152400</xdr:rowOff>
    </xdr:to>
    <xdr:cxnSp macro="">
      <xdr:nvCxnSpPr>
        <xdr:cNvPr id="80" name="DOTTED_LINE">
          <a:extLst>
            <a:ext uri="{FF2B5EF4-FFF2-40B4-BE49-F238E27FC236}">
              <a16:creationId xmlns:a16="http://schemas.microsoft.com/office/drawing/2014/main" id="{00000000-0008-0000-0000-000050000000}"/>
            </a:ext>
          </a:extLst>
        </xdr:cNvPr>
        <xdr:cNvCxnSpPr/>
      </xdr:nvCxnSpPr>
      <xdr:spPr>
        <a:xfrm>
          <a:off x="10086975" y="9077325"/>
          <a:ext cx="25908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152400</xdr:colOff>
      <xdr:row>48</xdr:row>
      <xdr:rowOff>152400</xdr:rowOff>
    </xdr:from>
    <xdr:to>
      <xdr:col>15</xdr:col>
      <xdr:colOff>66675</xdr:colOff>
      <xdr:row>48</xdr:row>
      <xdr:rowOff>152400</xdr:rowOff>
    </xdr:to>
    <xdr:cxnSp macro="">
      <xdr:nvCxnSpPr>
        <xdr:cNvPr id="87" name="DOTTED_LINE">
          <a:extLst>
            <a:ext uri="{FF2B5EF4-FFF2-40B4-BE49-F238E27FC236}">
              <a16:creationId xmlns:a16="http://schemas.microsoft.com/office/drawing/2014/main" id="{00000000-0008-0000-0000-000057000000}"/>
            </a:ext>
          </a:extLst>
        </xdr:cNvPr>
        <xdr:cNvCxnSpPr/>
      </xdr:nvCxnSpPr>
      <xdr:spPr>
        <a:xfrm>
          <a:off x="9115425" y="11144250"/>
          <a:ext cx="1524000" cy="0"/>
        </a:xfrm>
        <a:prstGeom prst="line">
          <a:avLst/>
        </a:prstGeom>
        <a:noFill/>
        <a:ln w="9525" cap="rnd" cmpd="sng" algn="ctr">
          <a:solidFill>
            <a:sysClr val="windowText" lastClr="000000">
              <a:lumMod val="85000"/>
              <a:lumOff val="15000"/>
            </a:sysClr>
          </a:solidFill>
          <a:prstDash val="sysDot"/>
          <a:round/>
        </a:ln>
        <a:effectLst/>
      </xdr:spPr>
    </xdr:cxnSp>
    <xdr:clientData/>
  </xdr:twoCellAnchor>
  <xdr:twoCellAnchor>
    <xdr:from>
      <xdr:col>16</xdr:col>
      <xdr:colOff>495300</xdr:colOff>
      <xdr:row>52</xdr:row>
      <xdr:rowOff>142875</xdr:rowOff>
    </xdr:from>
    <xdr:to>
      <xdr:col>19</xdr:col>
      <xdr:colOff>123825</xdr:colOff>
      <xdr:row>52</xdr:row>
      <xdr:rowOff>142875</xdr:rowOff>
    </xdr:to>
    <xdr:cxnSp macro="">
      <xdr:nvCxnSpPr>
        <xdr:cNvPr id="95" name="DOTTED_LINE">
          <a:extLst>
            <a:ext uri="{FF2B5EF4-FFF2-40B4-BE49-F238E27FC236}">
              <a16:creationId xmlns:a16="http://schemas.microsoft.com/office/drawing/2014/main" id="{00000000-0008-0000-0000-00005F000000}"/>
            </a:ext>
          </a:extLst>
        </xdr:cNvPr>
        <xdr:cNvCxnSpPr/>
      </xdr:nvCxnSpPr>
      <xdr:spPr>
        <a:xfrm>
          <a:off x="4238625" y="12382500"/>
          <a:ext cx="1238250" cy="0"/>
        </a:xfrm>
        <a:prstGeom prst="line">
          <a:avLst/>
        </a:prstGeom>
        <a:noFill/>
        <a:ln w="9525" cap="rnd" cmpd="sng" algn="ctr">
          <a:solidFill>
            <a:sysClr val="windowText" lastClr="000000">
              <a:lumMod val="85000"/>
              <a:lumOff val="15000"/>
            </a:sysClr>
          </a:solidFill>
          <a:prstDash val="sysDot"/>
          <a:round/>
        </a:ln>
        <a:effectLst/>
      </xdr:spPr>
    </xdr:cxnSp>
    <xdr:clientData/>
  </xdr:twoCellAnchor>
  <xdr:oneCellAnchor>
    <xdr:from>
      <xdr:col>8</xdr:col>
      <xdr:colOff>219074</xdr:colOff>
      <xdr:row>23</xdr:row>
      <xdr:rowOff>9525</xdr:rowOff>
    </xdr:from>
    <xdr:ext cx="2295525" cy="264560"/>
    <xdr:sp macro="" textlink="#REF!">
      <xdr:nvSpPr>
        <xdr:cNvPr id="3" name="TOC_SECTION_LINK">
          <a:hlinkClick xmlns:r="http://schemas.openxmlformats.org/officeDocument/2006/relationships" r:id="rId6"/>
          <a:extLst>
            <a:ext uri="{FF2B5EF4-FFF2-40B4-BE49-F238E27FC236}">
              <a16:creationId xmlns:a16="http://schemas.microsoft.com/office/drawing/2014/main" id="{00000000-0008-0000-0000-000003000000}"/>
            </a:ext>
          </a:extLst>
        </xdr:cNvPr>
        <xdr:cNvSpPr txBox="1"/>
      </xdr:nvSpPr>
      <xdr:spPr>
        <a:xfrm>
          <a:off x="7391399" y="4371975"/>
          <a:ext cx="22955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41854B30-285A-432C-AB51-56E8706E4B91}" type="TxLink">
            <a:rPr lang="en-US" sz="900" b="1" i="0" u="sng" strike="noStrike">
              <a:solidFill>
                <a:srgbClr val="366092"/>
              </a:solidFill>
              <a:latin typeface="Arial"/>
              <a:cs typeface="Arial"/>
            </a:rPr>
            <a:pPr algn="l"/>
            <a:t> </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8</xdr:col>
      <xdr:colOff>219074</xdr:colOff>
      <xdr:row>23</xdr:row>
      <xdr:rowOff>9525</xdr:rowOff>
    </xdr:from>
    <xdr:ext cx="2295525" cy="264560"/>
    <xdr:sp macro="" textlink="$G$44">
      <xdr:nvSpPr>
        <xdr:cNvPr id="2" name="TOC_SECTION_LINK">
          <a:hlinkClick xmlns:r="http://schemas.openxmlformats.org/officeDocument/2006/relationships" r:id="rId7"/>
          <a:extLst>
            <a:ext uri="{FF2B5EF4-FFF2-40B4-BE49-F238E27FC236}">
              <a16:creationId xmlns:a16="http://schemas.microsoft.com/office/drawing/2014/main" id="{93B6E335-05E9-4DEA-9D34-F0BEC93D616A}"/>
            </a:ext>
          </a:extLst>
        </xdr:cNvPr>
        <xdr:cNvSpPr txBox="1"/>
      </xdr:nvSpPr>
      <xdr:spPr>
        <a:xfrm>
          <a:off x="7391399" y="5162550"/>
          <a:ext cx="22955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4DCA384B-5EF9-438B-BDEE-830B43662A16}" type="TxLink">
            <a:rPr lang="en-US" sz="900" b="1" i="0" u="sng" strike="noStrike">
              <a:solidFill>
                <a:srgbClr val="376091"/>
              </a:solidFill>
              <a:latin typeface="Arial" pitchFamily="34" charset="0"/>
              <a:cs typeface="Arial" pitchFamily="34" charset="0"/>
            </a:rPr>
            <a:pPr algn="l"/>
            <a:t>Income Qualification</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16</xdr:col>
      <xdr:colOff>333376</xdr:colOff>
      <xdr:row>22</xdr:row>
      <xdr:rowOff>9525</xdr:rowOff>
    </xdr:from>
    <xdr:ext cx="2152650" cy="264560"/>
    <xdr:sp macro="" textlink="$G$81">
      <xdr:nvSpPr>
        <xdr:cNvPr id="20" name="TOC_SECTION_LINK">
          <a:hlinkClick xmlns:r="http://schemas.openxmlformats.org/officeDocument/2006/relationships" r:id="rId5"/>
          <a:extLst>
            <a:ext uri="{FF2B5EF4-FFF2-40B4-BE49-F238E27FC236}">
              <a16:creationId xmlns:a16="http://schemas.microsoft.com/office/drawing/2014/main" id="{8E8237B7-1888-4055-AF94-A1D41249EF05}"/>
            </a:ext>
          </a:extLst>
        </xdr:cNvPr>
        <xdr:cNvSpPr txBox="1"/>
      </xdr:nvSpPr>
      <xdr:spPr>
        <a:xfrm>
          <a:off x="11087101" y="4886325"/>
          <a:ext cx="2152650"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88667427-0150-4A33-B76C-B29F07EC3B00}" type="TxLink">
            <a:rPr lang="en-US" sz="900" b="1" i="0" u="sng" strike="noStrike">
              <a:solidFill>
                <a:srgbClr val="366092"/>
              </a:solidFill>
              <a:latin typeface="Arial"/>
              <a:cs typeface="Arial"/>
            </a:rPr>
            <a:pPr algn="l"/>
            <a:t>Mortgage Information</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16</xdr:col>
      <xdr:colOff>323850</xdr:colOff>
      <xdr:row>23</xdr:row>
      <xdr:rowOff>9525</xdr:rowOff>
    </xdr:from>
    <xdr:ext cx="2181225" cy="264560"/>
    <xdr:sp macro="" textlink="$G$118">
      <xdr:nvSpPr>
        <xdr:cNvPr id="22" name="TOC_SECTION_LINK">
          <a:hlinkClick xmlns:r="http://schemas.openxmlformats.org/officeDocument/2006/relationships" r:id="rId8"/>
          <a:extLst>
            <a:ext uri="{FF2B5EF4-FFF2-40B4-BE49-F238E27FC236}">
              <a16:creationId xmlns:a16="http://schemas.microsoft.com/office/drawing/2014/main" id="{4A0B7537-1F5A-4B1F-AD15-2F3E058DBD56}"/>
            </a:ext>
          </a:extLst>
        </xdr:cNvPr>
        <xdr:cNvSpPr txBox="1"/>
      </xdr:nvSpPr>
      <xdr:spPr>
        <a:xfrm>
          <a:off x="11077575" y="5162550"/>
          <a:ext cx="21812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25980428-EFD8-4864-9CA1-2CD8BED0D53A}" type="TxLink">
            <a:rPr lang="en-US" sz="900" b="1" i="0" u="sng" strike="noStrike">
              <a:solidFill>
                <a:srgbClr val="366092"/>
              </a:solidFill>
              <a:latin typeface="Arial"/>
              <a:cs typeface="Arial"/>
            </a:rPr>
            <a:pPr algn="l"/>
            <a:t>Other Grants or Mortgage Assistance</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16</xdr:col>
      <xdr:colOff>323850</xdr:colOff>
      <xdr:row>23</xdr:row>
      <xdr:rowOff>9525</xdr:rowOff>
    </xdr:from>
    <xdr:ext cx="2181225" cy="264560"/>
    <xdr:sp macro="" textlink="$G$118">
      <xdr:nvSpPr>
        <xdr:cNvPr id="23" name="TOC_SECTION_LINK">
          <a:hlinkClick xmlns:r="http://schemas.openxmlformats.org/officeDocument/2006/relationships" r:id="rId8"/>
          <a:extLst>
            <a:ext uri="{FF2B5EF4-FFF2-40B4-BE49-F238E27FC236}">
              <a16:creationId xmlns:a16="http://schemas.microsoft.com/office/drawing/2014/main" id="{211D45FD-FE09-467E-A814-FB448E5DE821}"/>
            </a:ext>
          </a:extLst>
        </xdr:cNvPr>
        <xdr:cNvSpPr txBox="1"/>
      </xdr:nvSpPr>
      <xdr:spPr>
        <a:xfrm>
          <a:off x="11077575" y="5162550"/>
          <a:ext cx="21812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25980428-EFD8-4864-9CA1-2CD8BED0D53A}" type="TxLink">
            <a:rPr lang="en-US" sz="900" b="1" i="0" u="sng" strike="noStrike">
              <a:solidFill>
                <a:srgbClr val="366092"/>
              </a:solidFill>
              <a:latin typeface="Arial"/>
              <a:cs typeface="Arial"/>
            </a:rPr>
            <a:pPr algn="l"/>
            <a:t>Other Grants or Mortgage Assistance</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16</xdr:col>
      <xdr:colOff>333376</xdr:colOff>
      <xdr:row>22</xdr:row>
      <xdr:rowOff>9525</xdr:rowOff>
    </xdr:from>
    <xdr:ext cx="2152650" cy="264560"/>
    <xdr:sp macro="" textlink="$G$81">
      <xdr:nvSpPr>
        <xdr:cNvPr id="21" name="TOC_SECTION_LINK">
          <a:hlinkClick xmlns:r="http://schemas.openxmlformats.org/officeDocument/2006/relationships" r:id="rId5"/>
          <a:extLst>
            <a:ext uri="{FF2B5EF4-FFF2-40B4-BE49-F238E27FC236}">
              <a16:creationId xmlns:a16="http://schemas.microsoft.com/office/drawing/2014/main" id="{6EEFCB4D-F034-4DE3-9EDD-82B1D7EEAE01}"/>
            </a:ext>
          </a:extLst>
        </xdr:cNvPr>
        <xdr:cNvSpPr txBox="1"/>
      </xdr:nvSpPr>
      <xdr:spPr>
        <a:xfrm>
          <a:off x="11087101" y="4886325"/>
          <a:ext cx="2152650"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88667427-0150-4A33-B76C-B29F07EC3B00}" type="TxLink">
            <a:rPr lang="en-US" sz="900" b="1" i="0" u="sng" strike="noStrike">
              <a:solidFill>
                <a:srgbClr val="366092"/>
              </a:solidFill>
              <a:latin typeface="Arial"/>
              <a:cs typeface="Arial"/>
            </a:rPr>
            <a:pPr algn="l"/>
            <a:t>Mortgage Information</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8</xdr:col>
      <xdr:colOff>238124</xdr:colOff>
      <xdr:row>24</xdr:row>
      <xdr:rowOff>9525</xdr:rowOff>
    </xdr:from>
    <xdr:ext cx="2295525" cy="264560"/>
    <xdr:sp macro="" textlink="$G$62">
      <xdr:nvSpPr>
        <xdr:cNvPr id="25" name="TOC_SECTION_LINK">
          <a:hlinkClick xmlns:r="http://schemas.openxmlformats.org/officeDocument/2006/relationships" r:id="rId2"/>
          <a:extLst>
            <a:ext uri="{FF2B5EF4-FFF2-40B4-BE49-F238E27FC236}">
              <a16:creationId xmlns:a16="http://schemas.microsoft.com/office/drawing/2014/main" id="{2906F309-219F-4416-BE38-AED432E12E57}"/>
            </a:ext>
          </a:extLst>
        </xdr:cNvPr>
        <xdr:cNvSpPr txBox="1"/>
      </xdr:nvSpPr>
      <xdr:spPr>
        <a:xfrm>
          <a:off x="6362699" y="5219700"/>
          <a:ext cx="22955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4C963503-8D13-44DB-B214-AF006F39E6C1}" type="TxLink">
            <a:rPr lang="en-US" sz="900" b="1" i="0" u="sng" strike="noStrike">
              <a:solidFill>
                <a:srgbClr val="366092"/>
              </a:solidFill>
              <a:latin typeface="Arial"/>
              <a:cs typeface="Arial"/>
            </a:rPr>
            <a:pPr algn="l"/>
            <a:t>Purchase Property Address</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twoCellAnchor>
    <xdr:from>
      <xdr:col>16</xdr:col>
      <xdr:colOff>638175</xdr:colOff>
      <xdr:row>73</xdr:row>
      <xdr:rowOff>152400</xdr:rowOff>
    </xdr:from>
    <xdr:to>
      <xdr:col>21</xdr:col>
      <xdr:colOff>114300</xdr:colOff>
      <xdr:row>73</xdr:row>
      <xdr:rowOff>161925</xdr:rowOff>
    </xdr:to>
    <xdr:cxnSp macro="">
      <xdr:nvCxnSpPr>
        <xdr:cNvPr id="4" name="DOTTED_LINE">
          <a:extLst>
            <a:ext uri="{FF2B5EF4-FFF2-40B4-BE49-F238E27FC236}">
              <a16:creationId xmlns:a16="http://schemas.microsoft.com/office/drawing/2014/main" id="{E4DCFB69-0B5E-401A-9A07-B3CE54E4A90C}"/>
            </a:ext>
          </a:extLst>
        </xdr:cNvPr>
        <xdr:cNvCxnSpPr/>
      </xdr:nvCxnSpPr>
      <xdr:spPr>
        <a:xfrm flipV="1">
          <a:off x="10344150" y="18926175"/>
          <a:ext cx="2038350" cy="9525"/>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352425</xdr:colOff>
      <xdr:row>0</xdr:row>
      <xdr:rowOff>0</xdr:rowOff>
    </xdr:from>
    <xdr:to>
      <xdr:col>17</xdr:col>
      <xdr:colOff>147638</xdr:colOff>
      <xdr:row>0</xdr:row>
      <xdr:rowOff>476250</xdr:rowOff>
    </xdr:to>
    <xdr:sp macro="" textlink="">
      <xdr:nvSpPr>
        <xdr:cNvPr id="4" name="HEADER_BANNER_TITLE">
          <a:extLst>
            <a:ext uri="{FF2B5EF4-FFF2-40B4-BE49-F238E27FC236}">
              <a16:creationId xmlns:a16="http://schemas.microsoft.com/office/drawing/2014/main" id="{00000000-0008-0000-0100-000004000000}"/>
            </a:ext>
          </a:extLst>
        </xdr:cNvPr>
        <xdr:cNvSpPr txBox="1"/>
      </xdr:nvSpPr>
      <xdr:spPr>
        <a:xfrm>
          <a:off x="4991100" y="0"/>
          <a:ext cx="2481263"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50" b="0" i="0" u="none" strike="noStrike">
              <a:solidFill>
                <a:schemeClr val="tx1"/>
              </a:solidFill>
              <a:latin typeface="Arial" pitchFamily="34" charset="0"/>
              <a:cs typeface="Arial" pitchFamily="34" charset="0"/>
            </a:rPr>
            <a:t> </a:t>
          </a:r>
        </a:p>
      </xdr:txBody>
    </xdr:sp>
    <xdr:clientData/>
  </xdr:twoCellAnchor>
  <xdr:twoCellAnchor editAs="oneCell">
    <xdr:from>
      <xdr:col>0</xdr:col>
      <xdr:colOff>72790</xdr:colOff>
      <xdr:row>0</xdr:row>
      <xdr:rowOff>37735</xdr:rowOff>
    </xdr:from>
    <xdr:to>
      <xdr:col>3</xdr:col>
      <xdr:colOff>234715</xdr:colOff>
      <xdr:row>0</xdr:row>
      <xdr:rowOff>473504</xdr:rowOff>
    </xdr:to>
    <xdr:pic>
      <xdr:nvPicPr>
        <xdr:cNvPr id="3" name="COMPANY_LOGO" descr="Medium.gif">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72790" y="37735"/>
          <a:ext cx="1219200" cy="435769"/>
        </a:xfrm>
        <a:prstGeom prst="rect">
          <a:avLst/>
        </a:prstGeom>
      </xdr:spPr>
    </xdr:pic>
    <xdr:clientData/>
  </xdr:twoCellAnchor>
  <xdr:twoCellAnchor editAs="oneCell">
    <xdr:from>
      <xdr:col>7</xdr:col>
      <xdr:colOff>371475</xdr:colOff>
      <xdr:row>0</xdr:row>
      <xdr:rowOff>9525</xdr:rowOff>
    </xdr:from>
    <xdr:to>
      <xdr:col>17</xdr:col>
      <xdr:colOff>109539</xdr:colOff>
      <xdr:row>0</xdr:row>
      <xdr:rowOff>485775</xdr:rowOff>
    </xdr:to>
    <xdr:sp macro="" textlink="'$DB.CONFIG'!D13">
      <xdr:nvSpPr>
        <xdr:cNvPr id="5" name="HEADER_BANNER_TITLE">
          <a:extLst>
            <a:ext uri="{FF2B5EF4-FFF2-40B4-BE49-F238E27FC236}">
              <a16:creationId xmlns:a16="http://schemas.microsoft.com/office/drawing/2014/main" id="{00000000-0008-0000-0100-000005000000}"/>
            </a:ext>
          </a:extLst>
        </xdr:cNvPr>
        <xdr:cNvSpPr txBox="1"/>
      </xdr:nvSpPr>
      <xdr:spPr>
        <a:xfrm>
          <a:off x="3219450" y="9525"/>
          <a:ext cx="4214814"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r"/>
          <a:fld id="{D5CD15C1-2AF4-4972-B1BF-A0968CC5AB69}" type="TxLink">
            <a:rPr lang="en-US" sz="1100" b="1" i="0" u="none" strike="noStrike">
              <a:solidFill>
                <a:srgbClr val="000000"/>
              </a:solidFill>
              <a:latin typeface="Arial" panose="020B0604020202020204" pitchFamily="34" charset="0"/>
              <a:cs typeface="Arial" panose="020B0604020202020204" pitchFamily="34" charset="0"/>
            </a:rPr>
            <a:pPr algn="r"/>
            <a:t>Certification and Disbursement Request Attachment 1</a:t>
          </a:fld>
          <a:endParaRPr lang="en-US" sz="1100" b="1" i="0" u="none" strike="noStrike">
            <a:solidFill>
              <a:schemeClr val="tx1"/>
            </a:solidFill>
            <a:latin typeface="Arial" pitchFamily="34" charset="0"/>
            <a:cs typeface="Arial" pitchFamily="34" charset="0"/>
          </a:endParaRPr>
        </a:p>
      </xdr:txBody>
    </xdr:sp>
    <xdr:clientData/>
  </xdr:twoCellAnchor>
  <xdr:twoCellAnchor editAs="oneCell">
    <xdr:from>
      <xdr:col>13</xdr:col>
      <xdr:colOff>66675</xdr:colOff>
      <xdr:row>1</xdr:row>
      <xdr:rowOff>47625</xdr:rowOff>
    </xdr:from>
    <xdr:to>
      <xdr:col>17</xdr:col>
      <xdr:colOff>109538</xdr:colOff>
      <xdr:row>1</xdr:row>
      <xdr:rowOff>230505</xdr:rowOff>
    </xdr:to>
    <xdr:sp macro="" textlink="CONFIG_EFORM_VERSION_DISP">
      <xdr:nvSpPr>
        <xdr:cNvPr id="6" name="HEADER_BANNER_SUBTITLE">
          <a:extLst>
            <a:ext uri="{FF2B5EF4-FFF2-40B4-BE49-F238E27FC236}">
              <a16:creationId xmlns:a16="http://schemas.microsoft.com/office/drawing/2014/main" id="{00000000-0008-0000-0100-000006000000}"/>
            </a:ext>
          </a:extLst>
        </xdr:cNvPr>
        <xdr:cNvSpPr txBox="1"/>
      </xdr:nvSpPr>
      <xdr:spPr>
        <a:xfrm>
          <a:off x="5600700" y="561975"/>
          <a:ext cx="1833563" cy="182880"/>
        </a:xfrm>
        <a:prstGeom prst="rect">
          <a:avLst/>
        </a:prstGeom>
        <a:solidFill>
          <a:srgbClr val="00305E"/>
        </a:solid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fld id="{AAC90A7D-3357-401C-9377-B81CCB3E4E80}" type="TxLink">
            <a:rPr lang="en-US" sz="700" b="1" i="0" u="none" strike="noStrike">
              <a:solidFill>
                <a:schemeClr val="bg1"/>
              </a:solidFill>
              <a:latin typeface="Arial" panose="020B0604020202020204" pitchFamily="34" charset="0"/>
              <a:cs typeface="Arial" panose="020B0604020202020204" pitchFamily="34" charset="0"/>
            </a:rPr>
            <a:pPr algn="ctr"/>
            <a:t>eForm Version 4.0.2</a:t>
          </a:fld>
          <a:endParaRPr lang="en-US" sz="700" b="1" i="0" u="none" strike="noStrike">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0</xdr:col>
      <xdr:colOff>66675</xdr:colOff>
      <xdr:row>2</xdr:row>
      <xdr:rowOff>238125</xdr:rowOff>
    </xdr:from>
    <xdr:to>
      <xdr:col>17</xdr:col>
      <xdr:colOff>104839</xdr:colOff>
      <xdr:row>18</xdr:row>
      <xdr:rowOff>85725</xdr:rowOff>
    </xdr:to>
    <xdr:grpSp>
      <xdr:nvGrpSpPr>
        <xdr:cNvPr id="8" name="CONFIG_FRAME">
          <a:extLst>
            <a:ext uri="{FF2B5EF4-FFF2-40B4-BE49-F238E27FC236}">
              <a16:creationId xmlns:a16="http://schemas.microsoft.com/office/drawing/2014/main" id="{00000000-0008-0000-0100-000008000000}"/>
            </a:ext>
          </a:extLst>
        </xdr:cNvPr>
        <xdr:cNvGrpSpPr/>
      </xdr:nvGrpSpPr>
      <xdr:grpSpPr>
        <a:xfrm>
          <a:off x="66675" y="1019175"/>
          <a:ext cx="7728014" cy="4318000"/>
          <a:chOff x="8180191" y="1298424"/>
          <a:chExt cx="7362825" cy="4262136"/>
        </a:xfrm>
      </xdr:grpSpPr>
      <xdr:sp macro="" textlink="">
        <xdr:nvSpPr>
          <xdr:cNvPr id="17" name="CONFIG_FRAME_SUBTITLE">
            <a:extLst>
              <a:ext uri="{FF2B5EF4-FFF2-40B4-BE49-F238E27FC236}">
                <a16:creationId xmlns:a16="http://schemas.microsoft.com/office/drawing/2014/main" id="{00000000-0008-0000-0100-000011000000}"/>
              </a:ext>
            </a:extLst>
          </xdr:cNvPr>
          <xdr:cNvSpPr/>
        </xdr:nvSpPr>
        <xdr:spPr>
          <a:xfrm>
            <a:off x="8180191" y="1623397"/>
            <a:ext cx="7360921" cy="275969"/>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900" b="1">
                <a:solidFill>
                  <a:schemeClr val="dk1"/>
                </a:solidFill>
                <a:latin typeface="Arial" pitchFamily="34" charset="0"/>
                <a:ea typeface="+mn-ea"/>
                <a:cs typeface="Arial" pitchFamily="34" charset="0"/>
              </a:rPr>
              <a:t>Limits &amp; Thresholds</a:t>
            </a:r>
            <a:endParaRPr lang="en-US" sz="900">
              <a:latin typeface="Arial" pitchFamily="34" charset="0"/>
              <a:cs typeface="Arial" pitchFamily="34" charset="0"/>
            </a:endParaRPr>
          </a:p>
        </xdr:txBody>
      </xdr:sp>
      <xdr:grpSp>
        <xdr:nvGrpSpPr>
          <xdr:cNvPr id="18" name="TOC">
            <a:extLst>
              <a:ext uri="{FF2B5EF4-FFF2-40B4-BE49-F238E27FC236}">
                <a16:creationId xmlns:a16="http://schemas.microsoft.com/office/drawing/2014/main" id="{00000000-0008-0000-0100-000012000000}"/>
              </a:ext>
            </a:extLst>
          </xdr:cNvPr>
          <xdr:cNvGrpSpPr/>
        </xdr:nvGrpSpPr>
        <xdr:grpSpPr>
          <a:xfrm>
            <a:off x="8180191" y="1298424"/>
            <a:ext cx="7362825" cy="4262136"/>
            <a:chOff x="9227941" y="1834109"/>
            <a:chExt cx="7362825" cy="3286138"/>
          </a:xfrm>
          <a:effectLst/>
        </xdr:grpSpPr>
        <xdr:sp macro="" textlink="">
          <xdr:nvSpPr>
            <xdr:cNvPr id="23" name="CONFIG_FRAME_BORDER">
              <a:extLst>
                <a:ext uri="{FF2B5EF4-FFF2-40B4-BE49-F238E27FC236}">
                  <a16:creationId xmlns:a16="http://schemas.microsoft.com/office/drawing/2014/main" id="{00000000-0008-0000-0100-000017000000}"/>
                </a:ext>
              </a:extLst>
            </xdr:cNvPr>
            <xdr:cNvSpPr/>
          </xdr:nvSpPr>
          <xdr:spPr>
            <a:xfrm>
              <a:off x="9227941" y="2083505"/>
              <a:ext cx="7362825" cy="3036742"/>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a:latin typeface="Arial" pitchFamily="34" charset="0"/>
                <a:cs typeface="Arial" pitchFamily="34" charset="0"/>
              </a:endParaRPr>
            </a:p>
          </xdr:txBody>
        </xdr:sp>
        <xdr:sp macro="" textlink="">
          <xdr:nvSpPr>
            <xdr:cNvPr id="24" name="CONFIG_FRAME_TITLE">
              <a:extLst>
                <a:ext uri="{FF2B5EF4-FFF2-40B4-BE49-F238E27FC236}">
                  <a16:creationId xmlns:a16="http://schemas.microsoft.com/office/drawing/2014/main" id="{00000000-0008-0000-0100-000018000000}"/>
                </a:ext>
              </a:extLst>
            </xdr:cNvPr>
            <xdr:cNvSpPr/>
          </xdr:nvSpPr>
          <xdr:spPr>
            <a:xfrm>
              <a:off x="9227941" y="1834109"/>
              <a:ext cx="7360856" cy="239704"/>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r>
                <a:rPr lang="en-US" sz="1050" b="1">
                  <a:solidFill>
                    <a:schemeClr val="bg1"/>
                  </a:solidFill>
                  <a:latin typeface="Arial" pitchFamily="34" charset="0"/>
                  <a:cs typeface="Arial" pitchFamily="34" charset="0"/>
                </a:rPr>
                <a:t>General Settings</a:t>
              </a:r>
            </a:p>
          </xdr:txBody>
        </xdr:sp>
      </xdr:grpSp>
    </xdr:grpSp>
    <xdr:clientData fPrintsWithSheet="0"/>
  </xdr:twoCellAnchor>
  <xdr:twoCellAnchor>
    <xdr:from>
      <xdr:col>3</xdr:col>
      <xdr:colOff>476250</xdr:colOff>
      <xdr:row>6</xdr:row>
      <xdr:rowOff>152400</xdr:rowOff>
    </xdr:from>
    <xdr:to>
      <xdr:col>12</xdr:col>
      <xdr:colOff>123825</xdr:colOff>
      <xdr:row>6</xdr:row>
      <xdr:rowOff>152400</xdr:rowOff>
    </xdr:to>
    <xdr:cxnSp macro="">
      <xdr:nvCxnSpPr>
        <xdr:cNvPr id="38" name="DOTTED_LINE">
          <a:extLst>
            <a:ext uri="{FF2B5EF4-FFF2-40B4-BE49-F238E27FC236}">
              <a16:creationId xmlns:a16="http://schemas.microsoft.com/office/drawing/2014/main" id="{00000000-0008-0000-0100-000026000000}"/>
            </a:ext>
          </a:extLst>
        </xdr:cNvPr>
        <xdr:cNvCxnSpPr/>
      </xdr:nvCxnSpPr>
      <xdr:spPr>
        <a:xfrm>
          <a:off x="1533525" y="2038350"/>
          <a:ext cx="39433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9525</xdr:colOff>
      <xdr:row>0</xdr:row>
      <xdr:rowOff>19050</xdr:rowOff>
    </xdr:from>
    <xdr:to>
      <xdr:col>17</xdr:col>
      <xdr:colOff>161924</xdr:colOff>
      <xdr:row>1</xdr:row>
      <xdr:rowOff>247650</xdr:rowOff>
    </xdr:to>
    <xdr:sp macro="" textlink="">
      <xdr:nvSpPr>
        <xdr:cNvPr id="43" name="HEADER_SHORTCUT_TOP">
          <a:hlinkClick xmlns:r="http://schemas.openxmlformats.org/officeDocument/2006/relationships" r:id="rId2" tooltip="Jump to Top"/>
          <a:extLst>
            <a:ext uri="{FF2B5EF4-FFF2-40B4-BE49-F238E27FC236}">
              <a16:creationId xmlns:a16="http://schemas.microsoft.com/office/drawing/2014/main" id="{00000000-0008-0000-0100-00002B000000}"/>
            </a:ext>
          </a:extLst>
        </xdr:cNvPr>
        <xdr:cNvSpPr/>
      </xdr:nvSpPr>
      <xdr:spPr>
        <a:xfrm>
          <a:off x="9525" y="19050"/>
          <a:ext cx="7477124" cy="742950"/>
        </a:xfrm>
        <a:prstGeom prst="rect">
          <a:avLst/>
        </a:prstGeom>
        <a:solidFill>
          <a:schemeClr val="bg1">
            <a:alpha val="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700">
            <a:latin typeface="Arial" pitchFamily="34" charset="0"/>
            <a:cs typeface="Arial" pitchFamily="34" charset="0"/>
          </a:endParaRPr>
        </a:p>
      </xdr:txBody>
    </xdr:sp>
    <xdr:clientData fPrintsWithSheet="0"/>
  </xdr:twoCellAnchor>
  <xdr:twoCellAnchor>
    <xdr:from>
      <xdr:col>7</xdr:col>
      <xdr:colOff>19050</xdr:colOff>
      <xdr:row>7</xdr:row>
      <xdr:rowOff>152400</xdr:rowOff>
    </xdr:from>
    <xdr:to>
      <xdr:col>12</xdr:col>
      <xdr:colOff>85725</xdr:colOff>
      <xdr:row>7</xdr:row>
      <xdr:rowOff>152400</xdr:rowOff>
    </xdr:to>
    <xdr:cxnSp macro="">
      <xdr:nvCxnSpPr>
        <xdr:cNvPr id="31" name="DOTTED_LINE">
          <a:extLst>
            <a:ext uri="{FF2B5EF4-FFF2-40B4-BE49-F238E27FC236}">
              <a16:creationId xmlns:a16="http://schemas.microsoft.com/office/drawing/2014/main" id="{00000000-0008-0000-0100-00001F000000}"/>
            </a:ext>
          </a:extLst>
        </xdr:cNvPr>
        <xdr:cNvCxnSpPr/>
      </xdr:nvCxnSpPr>
      <xdr:spPr>
        <a:xfrm>
          <a:off x="2867025" y="2314575"/>
          <a:ext cx="25717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333375</xdr:colOff>
      <xdr:row>9</xdr:row>
      <xdr:rowOff>142875</xdr:rowOff>
    </xdr:from>
    <xdr:to>
      <xdr:col>12</xdr:col>
      <xdr:colOff>104775</xdr:colOff>
      <xdr:row>9</xdr:row>
      <xdr:rowOff>142875</xdr:rowOff>
    </xdr:to>
    <xdr:cxnSp macro="">
      <xdr:nvCxnSpPr>
        <xdr:cNvPr id="33" name="DOTTED_LINE">
          <a:extLst>
            <a:ext uri="{FF2B5EF4-FFF2-40B4-BE49-F238E27FC236}">
              <a16:creationId xmlns:a16="http://schemas.microsoft.com/office/drawing/2014/main" id="{00000000-0008-0000-0100-000021000000}"/>
            </a:ext>
          </a:extLst>
        </xdr:cNvPr>
        <xdr:cNvCxnSpPr/>
      </xdr:nvCxnSpPr>
      <xdr:spPr>
        <a:xfrm>
          <a:off x="3181350" y="2857500"/>
          <a:ext cx="22764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295275</xdr:colOff>
      <xdr:row>8</xdr:row>
      <xdr:rowOff>152400</xdr:rowOff>
    </xdr:from>
    <xdr:to>
      <xdr:col>12</xdr:col>
      <xdr:colOff>66675</xdr:colOff>
      <xdr:row>8</xdr:row>
      <xdr:rowOff>152400</xdr:rowOff>
    </xdr:to>
    <xdr:cxnSp macro="">
      <xdr:nvCxnSpPr>
        <xdr:cNvPr id="37" name="DOTTED_LINE">
          <a:extLst>
            <a:ext uri="{FF2B5EF4-FFF2-40B4-BE49-F238E27FC236}">
              <a16:creationId xmlns:a16="http://schemas.microsoft.com/office/drawing/2014/main" id="{00000000-0008-0000-0100-000025000000}"/>
            </a:ext>
          </a:extLst>
        </xdr:cNvPr>
        <xdr:cNvCxnSpPr/>
      </xdr:nvCxnSpPr>
      <xdr:spPr>
        <a:xfrm>
          <a:off x="3143250" y="3419475"/>
          <a:ext cx="22764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66675</xdr:colOff>
      <xdr:row>11</xdr:row>
      <xdr:rowOff>161925</xdr:rowOff>
    </xdr:from>
    <xdr:to>
      <xdr:col>12</xdr:col>
      <xdr:colOff>57150</xdr:colOff>
      <xdr:row>11</xdr:row>
      <xdr:rowOff>161925</xdr:rowOff>
    </xdr:to>
    <xdr:cxnSp macro="">
      <xdr:nvCxnSpPr>
        <xdr:cNvPr id="40" name="DOTTED_LINE">
          <a:extLst>
            <a:ext uri="{FF2B5EF4-FFF2-40B4-BE49-F238E27FC236}">
              <a16:creationId xmlns:a16="http://schemas.microsoft.com/office/drawing/2014/main" id="{00000000-0008-0000-0100-000028000000}"/>
            </a:ext>
          </a:extLst>
        </xdr:cNvPr>
        <xdr:cNvCxnSpPr/>
      </xdr:nvCxnSpPr>
      <xdr:spPr>
        <a:xfrm>
          <a:off x="2019300" y="3152775"/>
          <a:ext cx="33909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666750</xdr:colOff>
      <xdr:row>12</xdr:row>
      <xdr:rowOff>161925</xdr:rowOff>
    </xdr:from>
    <xdr:to>
      <xdr:col>12</xdr:col>
      <xdr:colOff>57150</xdr:colOff>
      <xdr:row>12</xdr:row>
      <xdr:rowOff>161925</xdr:rowOff>
    </xdr:to>
    <xdr:cxnSp macro="">
      <xdr:nvCxnSpPr>
        <xdr:cNvPr id="41" name="DOTTED_LINE">
          <a:extLst>
            <a:ext uri="{FF2B5EF4-FFF2-40B4-BE49-F238E27FC236}">
              <a16:creationId xmlns:a16="http://schemas.microsoft.com/office/drawing/2014/main" id="{00000000-0008-0000-0100-000029000000}"/>
            </a:ext>
          </a:extLst>
        </xdr:cNvPr>
        <xdr:cNvCxnSpPr/>
      </xdr:nvCxnSpPr>
      <xdr:spPr>
        <a:xfrm>
          <a:off x="2619375" y="3429000"/>
          <a:ext cx="279082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523875</xdr:colOff>
      <xdr:row>13</xdr:row>
      <xdr:rowOff>161925</xdr:rowOff>
    </xdr:from>
    <xdr:to>
      <xdr:col>12</xdr:col>
      <xdr:colOff>57150</xdr:colOff>
      <xdr:row>13</xdr:row>
      <xdr:rowOff>161925</xdr:rowOff>
    </xdr:to>
    <xdr:cxnSp macro="">
      <xdr:nvCxnSpPr>
        <xdr:cNvPr id="42" name="DOTTED_LINE">
          <a:extLst>
            <a:ext uri="{FF2B5EF4-FFF2-40B4-BE49-F238E27FC236}">
              <a16:creationId xmlns:a16="http://schemas.microsoft.com/office/drawing/2014/main" id="{00000000-0008-0000-0100-00002A000000}"/>
            </a:ext>
          </a:extLst>
        </xdr:cNvPr>
        <xdr:cNvCxnSpPr/>
      </xdr:nvCxnSpPr>
      <xdr:spPr>
        <a:xfrm>
          <a:off x="3371850" y="3705225"/>
          <a:ext cx="20383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38100</xdr:colOff>
      <xdr:row>14</xdr:row>
      <xdr:rowOff>161925</xdr:rowOff>
    </xdr:from>
    <xdr:to>
      <xdr:col>12</xdr:col>
      <xdr:colOff>57150</xdr:colOff>
      <xdr:row>14</xdr:row>
      <xdr:rowOff>161925</xdr:rowOff>
    </xdr:to>
    <xdr:cxnSp macro="">
      <xdr:nvCxnSpPr>
        <xdr:cNvPr id="44" name="DOTTED_LINE">
          <a:extLst>
            <a:ext uri="{FF2B5EF4-FFF2-40B4-BE49-F238E27FC236}">
              <a16:creationId xmlns:a16="http://schemas.microsoft.com/office/drawing/2014/main" id="{00000000-0008-0000-0100-00002C000000}"/>
            </a:ext>
          </a:extLst>
        </xdr:cNvPr>
        <xdr:cNvCxnSpPr/>
      </xdr:nvCxnSpPr>
      <xdr:spPr>
        <a:xfrm>
          <a:off x="2705100" y="3981450"/>
          <a:ext cx="27051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381000</xdr:colOff>
      <xdr:row>15</xdr:row>
      <xdr:rowOff>161925</xdr:rowOff>
    </xdr:from>
    <xdr:to>
      <xdr:col>12</xdr:col>
      <xdr:colOff>57150</xdr:colOff>
      <xdr:row>15</xdr:row>
      <xdr:rowOff>161925</xdr:rowOff>
    </xdr:to>
    <xdr:cxnSp macro="">
      <xdr:nvCxnSpPr>
        <xdr:cNvPr id="45" name="DOTTED_LINE">
          <a:extLst>
            <a:ext uri="{FF2B5EF4-FFF2-40B4-BE49-F238E27FC236}">
              <a16:creationId xmlns:a16="http://schemas.microsoft.com/office/drawing/2014/main" id="{00000000-0008-0000-0100-00002D000000}"/>
            </a:ext>
          </a:extLst>
        </xdr:cNvPr>
        <xdr:cNvCxnSpPr/>
      </xdr:nvCxnSpPr>
      <xdr:spPr>
        <a:xfrm>
          <a:off x="2333625" y="4257675"/>
          <a:ext cx="30765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66675</xdr:colOff>
      <xdr:row>10</xdr:row>
      <xdr:rowOff>161925</xdr:rowOff>
    </xdr:from>
    <xdr:to>
      <xdr:col>12</xdr:col>
      <xdr:colOff>57150</xdr:colOff>
      <xdr:row>10</xdr:row>
      <xdr:rowOff>161925</xdr:rowOff>
    </xdr:to>
    <xdr:cxnSp macro="">
      <xdr:nvCxnSpPr>
        <xdr:cNvPr id="2" name="DOTTED_LINE">
          <a:extLst>
            <a:ext uri="{FF2B5EF4-FFF2-40B4-BE49-F238E27FC236}">
              <a16:creationId xmlns:a16="http://schemas.microsoft.com/office/drawing/2014/main" id="{00000000-0008-0000-0100-000002000000}"/>
            </a:ext>
          </a:extLst>
        </xdr:cNvPr>
        <xdr:cNvCxnSpPr/>
      </xdr:nvCxnSpPr>
      <xdr:spPr>
        <a:xfrm>
          <a:off x="2019300" y="3429000"/>
          <a:ext cx="33909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ffl\Desktop\stage\DELETEME_FHLBSF_AHEAD_eForm_v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Application Budget"/>
      <sheetName val="Configuration"/>
      <sheetName val="$DB.CONFIG"/>
      <sheetName val="$DB.LOOKUP"/>
      <sheetName val="$DB.DATA"/>
      <sheetName val="$DB.EXPORT"/>
    </sheetNames>
    <sheetDataSet>
      <sheetData sheetId="0" refreshError="1"/>
      <sheetData sheetId="1" refreshError="1"/>
      <sheetData sheetId="2" refreshError="1"/>
      <sheetData sheetId="3">
        <row r="6">
          <cell r="D6">
            <v>42979</v>
          </cell>
        </row>
        <row r="9">
          <cell r="D9" t="str">
            <v>Application Deadline</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DB_TBL_DATA_FIELDS" displayName="DB_TBL_DATA_FIELDS" ref="A2:AC99" totalsRowShown="0" headerRowDxfId="120" dataDxfId="119">
  <autoFilter ref="A2:AC99" xr:uid="{00000000-0009-0000-0100-000002000000}"/>
  <tableColumns count="29">
    <tableColumn id="10" xr3:uid="{00000000-0010-0000-0000-00000A000000}" name="SHEET_REF_WISH" dataDxfId="118"/>
    <tableColumn id="9" xr3:uid="{00000000-0010-0000-0000-000009000000}" name="SHEET_REF_IDEA" dataDxfId="117"/>
    <tableColumn id="1" xr3:uid="{00000000-0010-0000-0000-000001000000}" name="SHEET_REF_CALC" dataDxfId="116">
      <calculatedColumnFormula>IF('$DB.CONFIG'!$D$6="R",DB_TBL_DATA_FIELDS[SHEET_REF_IDEA],DB_TBL_DATA_FIELDS[SHEET_REF_WISH])</calculatedColumnFormula>
    </tableColumn>
    <tableColumn id="2" xr3:uid="{00000000-0010-0000-0000-000002000000}" name="FIELD_ID" dataDxfId="115"/>
    <tableColumn id="4" xr3:uid="{00000000-0010-0000-0000-000004000000}" name="FIELD_EXPORT_FLAG" dataDxfId="114"/>
    <tableColumn id="8" xr3:uid="{00000000-0010-0000-0000-000008000000}" name="FIELD_REQ_FLAG" dataDxfId="113"/>
    <tableColumn id="3" xr3:uid="{00000000-0010-0000-0000-000003000000}" name="FIELD_DESC" dataDxfId="112"/>
    <tableColumn id="5" xr3:uid="{00000000-0010-0000-0000-000005000000}" name="FIELD_VALUE_RAW" dataDxfId="111">
      <calculatedColumnFormula>IFERROR(VLOOKUP(DB_TBL_DATA_FIELDS[[#This Row],[FIELD_ID]],INDIRECT(DB_TBL_DATA_FIELDS[[#This Row],[SHEET_REF_CALC]]&amp;"!A:B"),2,FALSE),"")</calculatedColumnFormula>
    </tableColumn>
    <tableColumn id="26" xr3:uid="{00000000-0010-0000-0000-00001A000000}" name="FIELD_VALID_CUSTOM_LOGIC" dataDxfId="110"/>
    <tableColumn id="14" xr3:uid="{00000000-0010-0000-0000-00000E000000}" name="FIELD_EMPTY_FLAG" dataDxfId="109">
      <calculatedColumnFormula>(DB_TBL_DATA_FIELDS[[#This Row],[FIELD_VALUE_RAW]]="")</calculatedColumnFormula>
    </tableColumn>
    <tableColumn id="15" xr3:uid="{00000000-0010-0000-0000-00000F000000}" name="FIELD_TYPE" dataDxfId="108"/>
    <tableColumn id="12" xr3:uid="{00000000-0010-0000-0000-00000C000000}" name="FIELD_VALID_FLAG" dataDxfId="107">
      <calculatedColumnFormula>AND(IF(DB_TBL_DATA_FIELDS[[#This Row],[FIELD_VALID_CUSTOM_LOGIC]]="",TRUE,DB_TBL_DATA_FIELDS[[#This Row],[FIELD_VALID_CUSTOM_LOGIC]]),DB_TBL_DATA_FIELDS[[#This Row],[RANGE_VALIDATION_PASSED_FLAG]])</calculatedColumnFormula>
    </tableColumn>
    <tableColumn id="6" xr3:uid="{00000000-0010-0000-0000-000006000000}" name="FIELD_VALUE_CLEAN" dataDxfId="106">
      <calculatedColumnFormula>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calculatedColumnFormula>
    </tableColumn>
    <tableColumn id="13" xr3:uid="{00000000-0010-0000-0000-00000D000000}" name="FIELD_STATUS_CODE" dataDxfId="105">
      <calculatedColumnFormula>IF(DB_TBL_DATA_FIELDS[[#This Row],[SHEET_REF_CALC]]="","",IF(DB_TBL_DATA_FIELDS[[#This Row],[FIELD_EMPTY_FLAG]],IF(NOT(DB_TBL_DATA_FIELDS[[#This Row],[FIELD_REQ_FLAG]]),-1,1),IF(NOT(DB_TBL_DATA_FIELDS[[#This Row],[FIELD_VALID_FLAG]]),0,2)))</calculatedColumnFormula>
    </tableColumn>
    <tableColumn id="7" xr3:uid="{00000000-0010-0000-0000-000007000000}" name="FIELD_STATUS_DISPLAY" dataDxfId="104">
      <calculatedColumnFormula>IFERROR(VLOOKUP(DB_TBL_DATA_FIELDS[[#This Row],[FIELD_STATUS_CODE]],DB_TBL_CONFIG_FIELDSTATUSCODES[#All],3,FALSE),"")</calculatedColumnFormula>
    </tableColumn>
    <tableColumn id="11" xr3:uid="{00000000-0010-0000-0000-00000B000000}" name="FIELD_STATUS_ICON" dataDxfId="103">
      <calculatedColumnFormula>IFERROR(VLOOKUP(DB_TBL_DATA_FIELDS[[#This Row],[FIELD_STATUS_CODE]],DB_TBL_CONFIG_FIELDSTATUSCODES[#All],4,FALSE),"")</calculatedColumnFormula>
    </tableColumn>
    <tableColumn id="23" xr3:uid="{00000000-0010-0000-0000-000017000000}" name="TRIM_TEXT_FLAG" dataDxfId="102">
      <calculatedColumnFormula>TRUE</calculatedColumnFormula>
    </tableColumn>
    <tableColumn id="24" xr3:uid="{00000000-0010-0000-0000-000018000000}" name="RANGE_VALIDATION_ON_FLAG" dataDxfId="101">
      <calculatedColumnFormula>TRUE</calculatedColumnFormula>
    </tableColumn>
    <tableColumn id="22" xr3:uid="{00000000-0010-0000-0000-000016000000}" name="RANGE_VALIDATION_FLAG" dataDxfId="100"/>
    <tableColumn id="25" xr3:uid="{00000000-0010-0000-0000-000019000000}" name="RANGE_VALUE_LEN" dataDxfId="99">
      <calculatedColumnFormula>IF(DB_TBL_DATA_FIELDS[[#This Row],[RANGE_VALIDATION_FLAG]]="Text",LEN(DB_TBL_DATA_FIELDS[[#This Row],[FIELD_VALUE_RAW]]),IFERROR(VALUE(DB_TBL_DATA_FIELDS[[#This Row],[FIELD_VALUE_RAW]]),-1))</calculatedColumnFormula>
    </tableColumn>
    <tableColumn id="19" xr3:uid="{00000000-0010-0000-0000-000013000000}" name="RANGE_VALIDATION_MIN" dataDxfId="98">
      <calculatedColumnFormula>IF(#REF!="","",VLOOKUP("VMIN_"&amp;#REF!,DB_TBL_CONFIG_APP[#All],4,FALSE))</calculatedColumnFormula>
    </tableColumn>
    <tableColumn id="20" xr3:uid="{00000000-0010-0000-0000-000014000000}" name="RANGE_VALIDATION_MAX" dataDxfId="97">
      <calculatedColumnFormula>IF(#REF!="","",VLOOKUP("VMAX_"&amp;#REF!,DB_TBL_CONFIG_APP[#All],4,FALSE))</calculatedColumnFormula>
    </tableColumn>
    <tableColumn id="21" xr3:uid="{00000000-0010-0000-0000-000015000000}" name="RANGE_VALIDATION_PASSED_FLAG" dataDxfId="96">
      <calculatedColumnFormula>IF(NOT(DB_TBL_DATA_FIELDS[[#This Row],[RANGE_VALIDATION_ON_FLAG]]),TRUE,
AND(DB_TBL_DATA_FIELDS[[#This Row],[RANGE_VALUE_LEN]]&gt;=DB_TBL_DATA_FIELDS[[#This Row],[RANGE_VALIDATION_MIN]],DB_TBL_DATA_FIELDS[[#This Row],[RANGE_VALUE_LEN]]&lt;=DB_TBL_DATA_FIELDS[[#This Row],[RANGE_VALIDATION_MAX]]))</calculatedColumnFormula>
    </tableColumn>
    <tableColumn id="27" xr3:uid="{00000000-0010-0000-0000-00001B000000}" name="PCT_CALC_SHOW_STATUS_CODE" dataDxfId="95"/>
    <tableColumn id="28" xr3:uid="{00000000-0010-0000-0000-00001C000000}" name="PCT_CALC_FIELD_STATUS_CODE" dataDxfId="94">
      <calculatedColumnFormula>IF(DB_TBL_DATA_FIELDS[[#This Row],[PCT_CALC_SHOW_STATUS_CODE]]=1,
DB_TBL_DATA_FIELDS[[#This Row],[FIELD_STATUS_CODE]],
IF(AND(DB_TBL_DATA_FIELDS[[#This Row],[PCT_CALC_SHOW_STATUS_CODE]]=2,DB_TBL_DATA_FIELDS[[#This Row],[FIELD_STATUS_CODE]]=0),
DB_TBL_DATA_FIELDS[[#This Row],[FIELD_STATUS_CODE]],
"")
)</calculatedColumnFormula>
    </tableColumn>
    <tableColumn id="30" xr3:uid="{00000000-0010-0000-0000-00001E000000}" name="ERROR_MESSAGE" dataDxfId="93"/>
    <tableColumn id="16" xr3:uid="{00000000-0010-0000-0000-000010000000}" name="SPEC_FIELD_ID" dataDxfId="92"/>
    <tableColumn id="17" xr3:uid="{00000000-0010-0000-0000-000011000000}" name="APP SECTION" dataDxfId="91"/>
    <tableColumn id="18" xr3:uid="{00000000-0010-0000-0000-000012000000}" name="DEVELOPER_COMMENTS" dataDxfId="90"/>
  </tableColumns>
  <tableStyleInfo name="TableStyleMedium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DB_TBL_LOOKUP_APPTYPE" displayName="DB_TBL_LOOKUP_APPTYPE" ref="A2:B4" totalsRowShown="0" headerRowDxfId="89" dataDxfId="88">
  <tableColumns count="2">
    <tableColumn id="4" xr3:uid="{00000000-0010-0000-0100-000004000000}" name="LOOKUP_CODE" dataDxfId="87"/>
    <tableColumn id="2" xr3:uid="{00000000-0010-0000-0100-000002000000}" name="LOOKUP_VALUE" dataDxfId="86"/>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DB_TBL_CONFIG_APP" displayName="DB_TBL_CONFIG_APP" ref="A2:D24" totalsRowShown="0" headerRowDxfId="85" dataDxfId="84">
  <tableColumns count="4">
    <tableColumn id="1" xr3:uid="{00000000-0010-0000-0200-000001000000}" name="CONFIG_VAR" dataDxfId="83"/>
    <tableColumn id="2" xr3:uid="{00000000-0010-0000-0200-000002000000}" name="CONFIG_DESC" dataDxfId="82"/>
    <tableColumn id="3" xr3:uid="{00000000-0010-0000-0200-000003000000}" name="CONFIG_TYPE" dataDxfId="81"/>
    <tableColumn id="4" xr3:uid="{00000000-0010-0000-0200-000004000000}" name="CONFIG_VALUE" dataDxfId="80">
      <calculatedColumnFormula>VLOOKUP("APP_TYPE",DB_TBL_DATA_FIELDS[[#All],[FIELD_ID]:[FIELD_VALUE_CLEAN]],8,FALSE)</calculatedColumnFormula>
    </tableColumn>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DB_TBL_CONFIG_FIELDSTATUSCODES" displayName="DB_TBL_CONFIG_FIELDSTATUSCODES" ref="F2:J6" totalsRowShown="0" headerRowDxfId="79" dataDxfId="78">
  <sortState xmlns:xlrd2="http://schemas.microsoft.com/office/spreadsheetml/2017/richdata2" ref="F3:J6">
    <sortCondition ref="F2:F6"/>
  </sortState>
  <tableColumns count="5">
    <tableColumn id="1" xr3:uid="{00000000-0010-0000-0300-000001000000}" name="FIELD_STATUS_CODE" dataDxfId="77"/>
    <tableColumn id="2" xr3:uid="{00000000-0010-0000-0300-000002000000}" name="FIELD_STATUS_DESCRIPTION" dataDxfId="76"/>
    <tableColumn id="5" xr3:uid="{00000000-0010-0000-0300-000005000000}" name="FIELD_STATUS_COMMENT" dataDxfId="75"/>
    <tableColumn id="3" xr3:uid="{00000000-0010-0000-0300-000003000000}" name="FIELD_STATUS_ICON" dataDxfId="74"/>
    <tableColumn id="4" xr3:uid="{00000000-0010-0000-0300-000004000000}" name="FIELD_STATUS_ICON_FONT" dataDxfId="73"/>
  </tableColumns>
  <tableStyleInfo name="TableStyleMedium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DB_TBL_EXPORT_STAGE" displayName="DB_TBL_EXPORT_STAGE" ref="A1:BB2" totalsRowShown="0" headerRowDxfId="72" dataDxfId="70" headerRowBorderDxfId="71" tableBorderDxfId="69">
  <tableColumns count="54">
    <tableColumn id="3" xr3:uid="{00000000-0010-0000-0400-000003000000}" name="APP_COMPLETE_FLAG" dataDxfId="68">
      <calculatedColumnFormula>VLOOKUP(A1,DB_TBL_DATA_FIELDS[[FIELD_ID]:[FIELD_VALUE_CLEAN]],10,FALSE)</calculatedColumnFormula>
    </tableColumn>
    <tableColumn id="132" xr3:uid="{00000000-0010-0000-0400-000084000000}" name="APP_TYPE" dataDxfId="67">
      <calculatedColumnFormula>VLOOKUP(B1,DB_TBL_DATA_FIELDS[[FIELD_ID]:[FIELD_VALUE_CLEAN]],10,FALSE)</calculatedColumnFormula>
    </tableColumn>
    <tableColumn id="1" xr3:uid="{00000000-0010-0000-0400-000001000000}" name="FIRST_NAME" dataDxfId="66">
      <calculatedColumnFormula>VLOOKUP(C1,DB_TBL_DATA_FIELDS[[FIELD_ID]:[FIELD_VALUE_CLEAN]],10,FALSE)</calculatedColumnFormula>
    </tableColumn>
    <tableColumn id="2" xr3:uid="{00000000-0010-0000-0400-000002000000}" name="MIDDLE_NAME" dataDxfId="65">
      <calculatedColumnFormula>VLOOKUP(D1,DB_TBL_DATA_FIELDS[[FIELD_ID]:[FIELD_VALUE_CLEAN]],10,FALSE)</calculatedColumnFormula>
    </tableColumn>
    <tableColumn id="4" xr3:uid="{00000000-0010-0000-0400-000004000000}" name="LAST_NAME" dataDxfId="64">
      <calculatedColumnFormula>VLOOKUP(E1,DB_TBL_DATA_FIELDS[[FIELD_ID]:[FIELD_VALUE_CLEAN]],10,FALSE)</calculatedColumnFormula>
    </tableColumn>
    <tableColumn id="5" xr3:uid="{00000000-0010-0000-0400-000005000000}" name="HOMEOWNER_CONTRIBUTION_AMOUNT" dataDxfId="63">
      <calculatedColumnFormula>VLOOKUP(F1,DB_TBL_DATA_FIELDS[[FIELD_ID]:[FIELD_VALUE_CLEAN]],10,FALSE)</calculatedColumnFormula>
    </tableColumn>
    <tableColumn id="6" xr3:uid="{00000000-0010-0000-0400-000006000000}" name="REQUESTED_AMOUNT" dataDxfId="62">
      <calculatedColumnFormula>VLOOKUP(G1,DB_TBL_DATA_FIELDS[[FIELD_ID]:[FIELD_VALUE_CLEAN]],10,FALSE)</calculatedColumnFormula>
    </tableColumn>
    <tableColumn id="7" xr3:uid="{00000000-0010-0000-0400-000007000000}" name="FIRST_SAVINGS_DEPOSIT_DATE" dataDxfId="61">
      <calculatedColumnFormula>VLOOKUP(H1,DB_TBL_DATA_FIELDS[[FIELD_ID]:[FIELD_VALUE_CLEAN]],10,FALSE)</calculatedColumnFormula>
    </tableColumn>
    <tableColumn id="8" xr3:uid="{00000000-0010-0000-0400-000008000000}" name="FINAL_SAVINGS_DEPOSIT_DATE" dataDxfId="60">
      <calculatedColumnFormula>VLOOKUP(I1,DB_TBL_DATA_FIELDS[[FIELD_ID]:[FIELD_VALUE_CLEAN]],10,FALSE)</calculatedColumnFormula>
    </tableColumn>
    <tableColumn id="9" xr3:uid="{00000000-0010-0000-0400-000009000000}" name="SAVINGS_PROGRAM" dataDxfId="59">
      <calculatedColumnFormula>VLOOKUP(J1,DB_TBL_DATA_FIELDS[[FIELD_ID]:[FIELD_VALUE_CLEAN]],10,FALSE)</calculatedColumnFormula>
    </tableColumn>
    <tableColumn id="10" xr3:uid="{00000000-0010-0000-0400-00000A000000}" name="HOUSEHOLD_SIZE" dataDxfId="58">
      <calculatedColumnFormula>VLOOKUP(K1,DB_TBL_DATA_FIELDS[[FIELD_ID]:[FIELD_VALUE_CLEAN]],10,FALSE)</calculatedColumnFormula>
    </tableColumn>
    <tableColumn id="11" xr3:uid="{00000000-0010-0000-0400-00000B000000}" name="PROGRAM_ENROLLMENT_DATE" dataDxfId="57">
      <calculatedColumnFormula>VLOOKUP(L1,DB_TBL_DATA_FIELDS[[FIELD_ID]:[FIELD_VALUE_CLEAN]],10,FALSE)</calculatedColumnFormula>
    </tableColumn>
    <tableColumn id="12" xr3:uid="{00000000-0010-0000-0400-00000C000000}" name="QUALIFIED_YEAR" dataDxfId="56">
      <calculatedColumnFormula>VLOOKUP(M1,DB_TBL_DATA_FIELDS[[FIELD_ID]:[FIELD_VALUE_CLEAN]],10,FALSE)</calculatedColumnFormula>
    </tableColumn>
    <tableColumn id="13" xr3:uid="{00000000-0010-0000-0400-00000D000000}" name="SINGLE_FAMILY_FLAG" dataDxfId="55">
      <calculatedColumnFormula>VLOOKUP(N1,DB_TBL_DATA_FIELDS[[FIELD_ID]:[FIELD_VALUE_CLEAN]],10,FALSE)</calculatedColumnFormula>
    </tableColumn>
    <tableColumn id="14" xr3:uid="{00000000-0010-0000-0400-00000E000000}" name="MANUFACTURED_HOUSEING_FLG" dataDxfId="54">
      <calculatedColumnFormula>VLOOKUP(O1,DB_TBL_DATA_FIELDS[[FIELD_ID]:[FIELD_VALUE_CLEAN]],10,FALSE)</calculatedColumnFormula>
    </tableColumn>
    <tableColumn id="15" xr3:uid="{00000000-0010-0000-0400-00000F000000}" name="PROPERTY_ADDRESS_1" dataDxfId="53">
      <calculatedColumnFormula>VLOOKUP(P1,DB_TBL_DATA_FIELDS[[FIELD_ID]:[FIELD_VALUE_CLEAN]],10,FALSE)</calculatedColumnFormula>
    </tableColumn>
    <tableColumn id="16" xr3:uid="{00000000-0010-0000-0400-000010000000}" name="PROPERTY_ADDRESS_2" dataDxfId="52">
      <calculatedColumnFormula>VLOOKUP(Q1,DB_TBL_DATA_FIELDS[[FIELD_ID]:[FIELD_VALUE_CLEAN]],10,FALSE)</calculatedColumnFormula>
    </tableColumn>
    <tableColumn id="17" xr3:uid="{00000000-0010-0000-0400-000011000000}" name="PROPERTY_CITY" dataDxfId="51">
      <calculatedColumnFormula>VLOOKUP(R1,DB_TBL_DATA_FIELDS[[FIELD_ID]:[FIELD_VALUE_CLEAN]],10,FALSE)</calculatedColumnFormula>
    </tableColumn>
    <tableColumn id="18" xr3:uid="{00000000-0010-0000-0400-000012000000}" name="PROPERTY_ZIP" dataDxfId="50">
      <calculatedColumnFormula>VLOOKUP(S1,DB_TBL_DATA_FIELDS[[FIELD_ID]:[FIELD_VALUE_CLEAN]],10,FALSE)</calculatedColumnFormula>
    </tableColumn>
    <tableColumn id="19" xr3:uid="{00000000-0010-0000-0400-000013000000}" name="PROPERTY_STATE" dataDxfId="49">
      <calculatedColumnFormula>VLOOKUP(T1,DB_TBL_DATA_FIELDS[[FIELD_ID]:[FIELD_VALUE_CLEAN]],10,FALSE)</calculatedColumnFormula>
    </tableColumn>
    <tableColumn id="20" xr3:uid="{00000000-0010-0000-0400-000014000000}" name="PROPERTY_COUNTY" dataDxfId="48">
      <calculatedColumnFormula>VLOOKUP(U1,DB_TBL_DATA_FIELDS[[FIELD_ID]:[FIELD_VALUE_CLEAN]],10,FALSE)</calculatedColumnFormula>
    </tableColumn>
    <tableColumn id="21" xr3:uid="{00000000-0010-0000-0400-000015000000}" name="MBR_1ST_MORTGAGE_FLAG" dataDxfId="47">
      <calculatedColumnFormula>VLOOKUP(V1,DB_TBL_DATA_FIELDS[[FIELD_ID]:[FIELD_VALUE_CLEAN]],10,FALSE)</calculatedColumnFormula>
    </tableColumn>
    <tableColumn id="22" xr3:uid="{00000000-0010-0000-0400-000016000000}" name="FIRST_MORTGAGE_LENDER" dataDxfId="46">
      <calculatedColumnFormula>VLOOKUP(W1,DB_TBL_DATA_FIELDS[[FIELD_ID]:[FIELD_VALUE_CLEAN]],10,FALSE)</calculatedColumnFormula>
    </tableColumn>
    <tableColumn id="23" xr3:uid="{00000000-0010-0000-0400-000017000000}" name="FIRST_MORTGAGE_AMOUNT" dataDxfId="45">
      <calculatedColumnFormula>VLOOKUP(X1,DB_TBL_DATA_FIELDS[[FIELD_ID]:[FIELD_VALUE_CLEAN]],10,FALSE)</calculatedColumnFormula>
    </tableColumn>
    <tableColumn id="24" xr3:uid="{00000000-0010-0000-0400-000018000000}" name="FIRST_MORTGAGE_RATE" dataDxfId="44">
      <calculatedColumnFormula>VLOOKUP(Y1,DB_TBL_DATA_FIELDS[[FIELD_ID]:[FIELD_VALUE_CLEAN]],10,FALSE)</calculatedColumnFormula>
    </tableColumn>
    <tableColumn id="25" xr3:uid="{00000000-0010-0000-0400-000019000000}" name="FIRST_MORTGAGE_APR" dataDxfId="43">
      <calculatedColumnFormula>VLOOKUP(Z1,DB_TBL_DATA_FIELDS[[FIELD_ID]:[FIELD_VALUE_CLEAN]],10,FALSE)</calculatedColumnFormula>
    </tableColumn>
    <tableColumn id="26" xr3:uid="{00000000-0010-0000-0400-00001A000000}" name="FIRST_MORTGAGE_APR_EXPLANATION" dataDxfId="42">
      <calculatedColumnFormula>VLOOKUP(AA1,DB_TBL_DATA_FIELDS[[FIELD_ID]:[FIELD_VALUE_CLEAN]],10,FALSE)</calculatedColumnFormula>
    </tableColumn>
    <tableColumn id="27" xr3:uid="{00000000-0010-0000-0400-00001B000000}" name="FIRST_MORTGAGE_TYPE" dataDxfId="41">
      <calculatedColumnFormula>VLOOKUP(AB1,DB_TBL_DATA_FIELDS[[FIELD_ID]:[FIELD_VALUE_CLEAN]],10,FALSE)</calculatedColumnFormula>
    </tableColumn>
    <tableColumn id="28" xr3:uid="{00000000-0010-0000-0400-00001C000000}" name="FIRST_MORTGAGE_TERM" dataDxfId="40">
      <calculatedColumnFormula>VLOOKUP(AC1,DB_TBL_DATA_FIELDS[[FIELD_ID]:[FIELD_VALUE_CLEAN]],10,FALSE)</calculatedColumnFormula>
    </tableColumn>
    <tableColumn id="29" xr3:uid="{00000000-0010-0000-0400-00001D000000}" name="HOEPA_FLAG_FIRST_MORTGAGE" dataDxfId="39">
      <calculatedColumnFormula>VLOOKUP(AD1,DB_TBL_DATA_FIELDS[[FIELD_ID]:[FIELD_VALUE_CLEAN]],10,FALSE)</calculatedColumnFormula>
    </tableColumn>
    <tableColumn id="30" xr3:uid="{00000000-0010-0000-0400-00001E000000}" name="LOAN_CLOSING_DATE" dataDxfId="38">
      <calculatedColumnFormula>VLOOKUP(AE1,DB_TBL_DATA_FIELDS[[FIELD_ID]:[FIELD_VALUE_CLEAN]],10,FALSE)</calculatedColumnFormula>
    </tableColumn>
    <tableColumn id="31" xr3:uid="{00000000-0010-0000-0400-00001F000000}" name="PROPERTY_PURCHASE_PRICE" dataDxfId="37">
      <calculatedColumnFormula>VLOOKUP(AF1,DB_TBL_DATA_FIELDS[[FIELD_ID]:[FIELD_VALUE_CLEAN]],10,FALSE)</calculatedColumnFormula>
    </tableColumn>
    <tableColumn id="32" xr3:uid="{00000000-0010-0000-0400-000020000000}" name="FHA_LOAN_FLAG" dataDxfId="36">
      <calculatedColumnFormula>VLOOKUP(AG1,DB_TBL_DATA_FIELDS[[FIELD_ID]:[FIELD_VALUE_CLEAN]],10,FALSE)</calculatedColumnFormula>
    </tableColumn>
    <tableColumn id="33" xr3:uid="{00000000-0010-0000-0400-000021000000}" name="HOUSING_EXPENSE_INCOME_RATIO" dataDxfId="35">
      <calculatedColumnFormula>VLOOKUP(AH1,DB_TBL_DATA_FIELDS[[FIELD_ID]:[FIELD_VALUE_CLEAN]],10,FALSE)</calculatedColumnFormula>
    </tableColumn>
    <tableColumn id="34" xr3:uid="{00000000-0010-0000-0400-000022000000}" name="HOUSING_EXPENSE_INCOME_RATIO_EXPLANATION" dataDxfId="34">
      <calculatedColumnFormula>VLOOKUP(AI1,DB_TBL_DATA_FIELDS[[FIELD_ID]:[FIELD_VALUE_CLEAN]],10,FALSE)</calculatedColumnFormula>
    </tableColumn>
    <tableColumn id="35" xr3:uid="{00000000-0010-0000-0400-000023000000}" name="SECOND_MORTGAGE_LENDER" dataDxfId="33">
      <calculatedColumnFormula>VLOOKUP(AJ1,DB_TBL_DATA_FIELDS[[FIELD_ID]:[FIELD_VALUE_CLEAN]],10,FALSE)</calculatedColumnFormula>
    </tableColumn>
    <tableColumn id="36" xr3:uid="{00000000-0010-0000-0400-000024000000}" name="SECOND_MORTGAGE_AMOUNT" dataDxfId="32">
      <calculatedColumnFormula>VLOOKUP(AK1,DB_TBL_DATA_FIELDS[[FIELD_ID]:[FIELD_VALUE_CLEAN]],10,FALSE)</calculatedColumnFormula>
    </tableColumn>
    <tableColumn id="37" xr3:uid="{00000000-0010-0000-0400-000025000000}" name="SECOND_MORTGAGE_RATE" dataDxfId="31">
      <calculatedColumnFormula>VLOOKUP(AL1,DB_TBL_DATA_FIELDS[[FIELD_ID]:[FIELD_VALUE_CLEAN]],10,FALSE)</calculatedColumnFormula>
    </tableColumn>
    <tableColumn id="38" xr3:uid="{00000000-0010-0000-0400-000026000000}" name="SECOND_MORTGAGE_APR" dataDxfId="30">
      <calculatedColumnFormula>VLOOKUP(AM1,DB_TBL_DATA_FIELDS[[FIELD_ID]:[FIELD_VALUE_CLEAN]],10,FALSE)</calculatedColumnFormula>
    </tableColumn>
    <tableColumn id="39" xr3:uid="{00000000-0010-0000-0400-000027000000}" name="SECOND_MORTGAGE_TYPE" dataDxfId="29">
      <calculatedColumnFormula>VLOOKUP(AN1,DB_TBL_DATA_FIELDS[[FIELD_ID]:[FIELD_VALUE_CLEAN]],10,FALSE)</calculatedColumnFormula>
    </tableColumn>
    <tableColumn id="40" xr3:uid="{00000000-0010-0000-0400-000028000000}" name="SECOND_MORTGAGE_TERM" dataDxfId="28">
      <calculatedColumnFormula>VLOOKUP(AO1,DB_TBL_DATA_FIELDS[[FIELD_ID]:[FIELD_VALUE_CLEAN]],10,FALSE)</calculatedColumnFormula>
    </tableColumn>
    <tableColumn id="41" xr3:uid="{00000000-0010-0000-0400-000029000000}" name="HOEPA_FLAG_SECOND_MORTGAGE" dataDxfId="27">
      <calculatedColumnFormula>VLOOKUP(AP1,DB_TBL_DATA_FIELDS[[FIELD_ID]:[FIELD_VALUE_CLEAN]],10,FALSE)</calculatedColumnFormula>
    </tableColumn>
    <tableColumn id="42" xr3:uid="{00000000-0010-0000-0400-00002A000000}" name="GRANT_SOURCE" dataDxfId="26">
      <calculatedColumnFormula>VLOOKUP(AQ1,DB_TBL_DATA_FIELDS[[FIELD_ID]:[FIELD_VALUE_CLEAN]],10,FALSE)</calculatedColumnFormula>
    </tableColumn>
    <tableColumn id="43" xr3:uid="{00000000-0010-0000-0400-00002B000000}" name="GRANT_AMOUNT" dataDxfId="25">
      <calculatedColumnFormula>VLOOKUP(AR1,DB_TBL_DATA_FIELDS[[FIELD_ID]:[FIELD_VALUE_CLEAN]],10,FALSE)</calculatedColumnFormula>
    </tableColumn>
    <tableColumn id="44" xr3:uid="{00000000-0010-0000-0400-00002C000000}" name="HOMEBUYER_2_FIRST_NAME" dataDxfId="24">
      <calculatedColumnFormula>VLOOKUP(AS1,DB_TBL_DATA_FIELDS[[FIELD_ID]:[FIELD_VALUE_CLEAN]],10,FALSE)</calculatedColumnFormula>
    </tableColumn>
    <tableColumn id="45" xr3:uid="{00000000-0010-0000-0400-00002D000000}" name="HOMEBUYER_2_MIDDLE_NAME" dataDxfId="23">
      <calculatedColumnFormula>VLOOKUP(AT1,DB_TBL_DATA_FIELDS[[FIELD_ID]:[FIELD_VALUE_CLEAN]],10,FALSE)</calculatedColumnFormula>
    </tableColumn>
    <tableColumn id="46" xr3:uid="{00000000-0010-0000-0400-00002E000000}" name="HOMEBUYER_2_LAST_NAME" dataDxfId="22">
      <calculatedColumnFormula>VLOOKUP(AU1,DB_TBL_DATA_FIELDS[[FIELD_ID]:[FIELD_VALUE_CLEAN]],10,FALSE)</calculatedColumnFormula>
    </tableColumn>
    <tableColumn id="47" xr3:uid="{3B7B6C1A-3259-4720-AF27-3134C58F317C}" name="MSA" dataDxfId="21">
      <calculatedColumnFormula>VLOOKUP(AV1,DB_TBL_DATA_FIELDS[[FIELD_ID]:[FIELD_VALUE_CLEAN]],10,FALSE)</calculatedColumnFormula>
    </tableColumn>
    <tableColumn id="48" xr3:uid="{2060FC6C-51F5-4C66-9B8B-77AFF4EE767B}" name="HUD" dataDxfId="20">
      <calculatedColumnFormula>VLOOKUP(AW1,DB_TBL_DATA_FIELDS[[FIELD_ID]:[FIELD_VALUE_CLEAN]],10,FALSE)</calculatedColumnFormula>
    </tableColumn>
    <tableColumn id="49" xr3:uid="{86AC5F1F-81DD-4819-935D-A091ED70DE84}" name="HOUSEHOLD_INCOME_AT_ENROLLMENT" dataDxfId="19">
      <calculatedColumnFormula>VLOOKUP(AX1,DB_TBL_DATA_FIELDS[[FIELD_ID]:[FIELD_VALUE_CLEAN]],10,FALSE)</calculatedColumnFormula>
    </tableColumn>
    <tableColumn id="50" xr3:uid="{71966B34-7437-435F-87B5-959D7ECD2B41}" name="HOMEBUYER_1_ETHNICITY_CODE" dataDxfId="18">
      <calculatedColumnFormula>VLOOKUP(AY1,DB_TBL_DATA_FIELDS[[FIELD_ID]:[FIELD_VALUE_CLEAN]],10,FALSE)</calculatedColumnFormula>
    </tableColumn>
    <tableColumn id="51" xr3:uid="{06B23ED2-D3FC-42CA-AFAE-1BB3AD6B8F9D}" name="HOMEBUYER_1_RACE_CSV_LIST" dataDxfId="17">
      <calculatedColumnFormula>VLOOKUP(AZ1,DB_TBL_DATA_FIELDS[[FIELD_ID]:[FIELD_VALUE_CLEAN]],10,FALSE)</calculatedColumnFormula>
    </tableColumn>
    <tableColumn id="52" xr3:uid="{756DEFE6-F373-4749-B686-A55913B4D576}" name="HOMEBUYER_2_ETHNICITY_CODE" dataDxfId="16">
      <calculatedColumnFormula>VLOOKUP(BA1,DB_TBL_DATA_FIELDS[[FIELD_ID]:[FIELD_VALUE_CLEAN]],10,FALSE)</calculatedColumnFormula>
    </tableColumn>
    <tableColumn id="53" xr3:uid="{5CD4892C-573C-483B-A392-71A2B16AA551}" name="HOMEBUYER_2_RACE_CSV_LIST" dataDxfId="15">
      <calculatedColumnFormula>VLOOKUP(BB1,DB_TBL_DATA_FIELDS[[FIELD_ID]:[FIELD_VALUE_CLEAN]],10,FALSE)</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10"/>
  <sheetViews>
    <sheetView showGridLines="0" showRowColHeaders="0" tabSelected="1" showWhiteSpace="0" zoomScaleNormal="100" zoomScaleSheetLayoutView="100" zoomScalePageLayoutView="110" workbookViewId="0">
      <pane ySplit="4" topLeftCell="A30" activePane="bottomLeft" state="frozen"/>
      <selection pane="bottomLeft" activeCell="U51" sqref="U51:W54"/>
    </sheetView>
  </sheetViews>
  <sheetFormatPr defaultColWidth="9.1796875" defaultRowHeight="14" x14ac:dyDescent="0.3"/>
  <cols>
    <col min="1" max="1" width="34.1796875" style="137" hidden="1" customWidth="1"/>
    <col min="2" max="3" width="12.81640625" style="137" hidden="1" customWidth="1"/>
    <col min="4" max="4" width="13.1796875" style="137" hidden="1" customWidth="1"/>
    <col min="5" max="5" width="6.81640625" style="137" hidden="1" customWidth="1"/>
    <col min="6" max="6" width="7" style="137" hidden="1" customWidth="1"/>
    <col min="7" max="7" width="2.54296875" style="137" hidden="1" customWidth="1"/>
    <col min="8" max="8" width="2.453125" style="37" customWidth="1"/>
    <col min="9" max="9" width="10.7265625" style="37" customWidth="1"/>
    <col min="10" max="10" width="2.7265625" style="43" customWidth="1"/>
    <col min="11" max="11" width="10.7265625" style="37" customWidth="1"/>
    <col min="12" max="12" width="2.7265625" style="43" customWidth="1"/>
    <col min="13" max="13" width="10.7265625" style="37" customWidth="1"/>
    <col min="14" max="14" width="2.7265625" style="43" customWidth="1"/>
    <col min="15" max="15" width="10.7265625" style="37" customWidth="1"/>
    <col min="16" max="16" width="2.7265625" style="43" customWidth="1"/>
    <col min="17" max="17" width="10.7265625" style="37" customWidth="1"/>
    <col min="18" max="18" width="3.54296875" style="43" customWidth="1"/>
    <col min="19" max="19" width="10.7265625" style="37" customWidth="1"/>
    <col min="20" max="20" width="2.7265625" style="43" customWidth="1"/>
    <col min="21" max="21" width="10.7265625" style="37" customWidth="1"/>
    <col min="22" max="22" width="2.7265625" style="43" customWidth="1"/>
    <col min="23" max="23" width="10.7265625" style="37" customWidth="1"/>
    <col min="24" max="24" width="2.7265625" style="43" customWidth="1"/>
    <col min="25" max="25" width="2.453125" style="37" customWidth="1"/>
    <col min="26" max="16384" width="9.1796875" style="37"/>
  </cols>
  <sheetData>
    <row r="1" spans="1:25" ht="40.5" customHeight="1" thickBot="1" x14ac:dyDescent="0.35">
      <c r="A1" s="141" t="s">
        <v>192</v>
      </c>
      <c r="B1" s="141" t="s">
        <v>191</v>
      </c>
      <c r="C1" s="141" t="s">
        <v>188</v>
      </c>
      <c r="D1" s="141" t="s">
        <v>189</v>
      </c>
      <c r="E1" s="141" t="s">
        <v>186</v>
      </c>
      <c r="F1" s="141" t="s">
        <v>187</v>
      </c>
      <c r="G1" s="141" t="s">
        <v>190</v>
      </c>
      <c r="H1" s="70"/>
      <c r="I1" s="70"/>
      <c r="J1" s="71"/>
      <c r="K1" s="70"/>
      <c r="L1" s="71"/>
      <c r="M1" s="70"/>
      <c r="N1" s="71"/>
      <c r="O1" s="70"/>
      <c r="P1" s="71"/>
      <c r="Q1" s="70"/>
      <c r="R1" s="71"/>
      <c r="S1" s="70"/>
      <c r="T1" s="71"/>
      <c r="U1" s="70"/>
      <c r="V1" s="71"/>
      <c r="W1" s="70"/>
      <c r="X1" s="71"/>
      <c r="Y1" s="70"/>
    </row>
    <row r="2" spans="1:25" ht="3" customHeight="1" x14ac:dyDescent="0.3">
      <c r="A2" s="142"/>
      <c r="B2" s="142"/>
      <c r="C2" s="142"/>
      <c r="D2" s="142"/>
      <c r="E2" s="142"/>
      <c r="F2" s="142"/>
      <c r="G2" s="142"/>
      <c r="H2" s="45"/>
      <c r="I2" s="46"/>
      <c r="J2" s="46"/>
      <c r="K2" s="46"/>
      <c r="L2" s="46"/>
      <c r="M2" s="46"/>
      <c r="N2" s="46"/>
      <c r="O2" s="46"/>
      <c r="P2" s="47"/>
      <c r="Q2" s="47"/>
      <c r="R2" s="72"/>
      <c r="S2" s="66"/>
      <c r="T2" s="72"/>
      <c r="U2" s="72"/>
      <c r="V2" s="72"/>
      <c r="W2" s="72"/>
      <c r="X2" s="72"/>
      <c r="Y2" s="72"/>
    </row>
    <row r="3" spans="1:25" ht="15" customHeight="1" x14ac:dyDescent="0.3">
      <c r="A3" s="142"/>
      <c r="B3" s="142"/>
      <c r="C3" s="142"/>
      <c r="D3" s="142"/>
      <c r="E3" s="142"/>
      <c r="F3" s="142"/>
      <c r="G3" s="142"/>
      <c r="H3" s="73"/>
      <c r="I3" s="46" t="str">
        <f ca="1">(LEFT($B$8,40)&amp;IF(LEN($B$8)&gt;40,"…",""))</f>
        <v/>
      </c>
      <c r="J3" s="46"/>
      <c r="K3" s="46"/>
      <c r="L3" s="46"/>
      <c r="M3" s="46"/>
      <c r="N3" s="46"/>
      <c r="O3" s="46"/>
      <c r="P3" s="47"/>
      <c r="Q3" s="47"/>
      <c r="R3" s="87" t="s">
        <v>2160</v>
      </c>
      <c r="S3" s="38">
        <f ca="1">IF('$DB.DATA'!H9="W",VLOOKUP("APP_PROGRESS_PCT_COMPLETE",DB_TBL_DATA_FIELDS[[FIELD_ID]:[FIELD_VALUE_CLEAN]],10,FALSE),"N/A")</f>
        <v>0</v>
      </c>
      <c r="T3" s="48" t="str">
        <f ca="1">IF(B13&gt;0,0,IF(B9&gt;0,1,IF(S3=1,2,"")))</f>
        <v/>
      </c>
      <c r="U3" s="73"/>
      <c r="V3" s="74"/>
      <c r="W3" s="73"/>
      <c r="X3" s="74"/>
      <c r="Y3" s="73"/>
    </row>
    <row r="4" spans="1:25" ht="3" customHeight="1" x14ac:dyDescent="0.3">
      <c r="A4" s="142"/>
      <c r="B4" s="142"/>
      <c r="C4" s="142"/>
      <c r="D4" s="142"/>
      <c r="E4" s="142"/>
      <c r="F4" s="142"/>
      <c r="G4" s="142"/>
      <c r="H4" s="76"/>
      <c r="I4" s="49"/>
      <c r="J4" s="49"/>
      <c r="K4" s="49"/>
      <c r="L4" s="49"/>
      <c r="M4" s="49"/>
      <c r="N4" s="49"/>
      <c r="O4" s="49"/>
      <c r="P4" s="50"/>
      <c r="Q4" s="50"/>
      <c r="R4" s="75"/>
      <c r="S4" s="76"/>
      <c r="T4" s="75"/>
      <c r="U4" s="76"/>
      <c r="V4" s="75"/>
      <c r="W4" s="76"/>
      <c r="X4" s="75"/>
      <c r="Y4" s="76"/>
    </row>
    <row r="5" spans="1:25" ht="4" customHeight="1" x14ac:dyDescent="0.3">
      <c r="A5" s="142"/>
      <c r="B5" s="142"/>
      <c r="C5" s="142"/>
      <c r="D5" s="142"/>
      <c r="E5" s="142"/>
      <c r="F5" s="142"/>
      <c r="G5" s="142"/>
      <c r="H5" s="77"/>
      <c r="I5" s="51"/>
      <c r="J5" s="51"/>
      <c r="K5" s="51"/>
      <c r="L5" s="51"/>
      <c r="M5" s="51"/>
      <c r="N5" s="51"/>
      <c r="O5" s="51"/>
      <c r="P5" s="52"/>
      <c r="Q5" s="52"/>
      <c r="R5" s="39"/>
      <c r="S5" s="69"/>
      <c r="T5" s="39"/>
      <c r="U5" s="69"/>
      <c r="V5" s="39"/>
      <c r="W5" s="69"/>
      <c r="X5" s="39"/>
      <c r="Y5" s="69"/>
    </row>
    <row r="6" spans="1:25" ht="18" customHeight="1" x14ac:dyDescent="0.3">
      <c r="A6" s="142" t="s">
        <v>37</v>
      </c>
      <c r="B6" s="143" t="str">
        <f>B7&amp;" | "&amp;VLOOKUP("PAGE_BANNER_TITLE",DB_TBL_CONFIG_APP[#All],4,FALSE)</f>
        <v>MDPA Program | Certification and Disbursement Request Attachment 1</v>
      </c>
      <c r="C6" s="142"/>
      <c r="D6" s="142"/>
      <c r="E6" s="142"/>
      <c r="F6" s="142"/>
      <c r="G6" s="142"/>
      <c r="H6" s="53" t="str">
        <f ca="1">B11</f>
        <v/>
      </c>
      <c r="I6" s="212" t="str">
        <f ca="1">B12</f>
        <v/>
      </c>
      <c r="J6" s="213"/>
      <c r="K6" s="213"/>
      <c r="L6" s="213"/>
      <c r="M6" s="213"/>
      <c r="N6" s="213"/>
      <c r="O6" s="213"/>
      <c r="P6" s="213"/>
      <c r="Q6" s="213"/>
      <c r="R6" s="213"/>
      <c r="S6" s="213"/>
      <c r="T6" s="213"/>
      <c r="U6" s="213"/>
      <c r="V6" s="213"/>
      <c r="W6" s="213"/>
      <c r="X6" s="213"/>
      <c r="Y6" s="213"/>
    </row>
    <row r="7" spans="1:25" ht="16.5" customHeight="1" x14ac:dyDescent="0.3">
      <c r="A7" s="142" t="s">
        <v>2224</v>
      </c>
      <c r="B7" s="143" t="str">
        <f>VLOOKUP(A7,DB_TBL_CONFIG_APP[#All],4,FALSE)</f>
        <v>MDPA Program</v>
      </c>
      <c r="C7" s="142"/>
      <c r="D7" s="142"/>
      <c r="E7" s="142"/>
      <c r="F7" s="142"/>
      <c r="G7" s="142"/>
      <c r="H7" s="53"/>
      <c r="I7" s="53"/>
      <c r="J7" s="53"/>
      <c r="K7" s="53"/>
      <c r="L7" s="53"/>
      <c r="M7" s="53"/>
      <c r="N7" s="53"/>
      <c r="O7" s="53"/>
      <c r="P7" s="53"/>
      <c r="Q7" s="53"/>
      <c r="R7" s="53"/>
      <c r="S7" s="53"/>
      <c r="T7" s="53"/>
      <c r="U7" s="53"/>
      <c r="V7" s="53"/>
      <c r="W7" s="53"/>
      <c r="X7" s="53"/>
      <c r="Y7" s="53"/>
    </row>
    <row r="8" spans="1:25" ht="22" customHeight="1" x14ac:dyDescent="0.3">
      <c r="A8" s="142" t="s">
        <v>41</v>
      </c>
      <c r="B8" s="143" t="str">
        <f ca="1">IF(VLOOKUP("HOMEBUYER_NAME_FULL",DB_TBL_DATA_FIELDS[[#All],[FIELD_ID]:[FIELD_VALUE_CLEAN]],10,FALSE)="","",VLOOKUP("HOMEBUYER_NAME_FULL",DB_TBL_DATA_FIELDS[[#All],[FIELD_ID]:[FIELD_VALUE_CLEAN]],10,FALSE))</f>
        <v/>
      </c>
      <c r="C8" s="144"/>
      <c r="D8" s="144"/>
      <c r="E8" s="142"/>
      <c r="F8" s="142"/>
      <c r="G8" s="142"/>
      <c r="H8" s="53"/>
      <c r="I8" s="223" t="s">
        <v>2405</v>
      </c>
      <c r="J8" s="223"/>
      <c r="K8" s="223"/>
      <c r="L8" s="223"/>
      <c r="M8" s="223"/>
      <c r="N8" s="223"/>
      <c r="O8" s="223"/>
      <c r="P8" s="223"/>
      <c r="Q8" s="223"/>
      <c r="R8" s="223"/>
      <c r="S8" s="223"/>
      <c r="T8" s="223"/>
      <c r="U8" s="223"/>
      <c r="V8" s="223"/>
      <c r="W8" s="223"/>
      <c r="X8" s="223"/>
      <c r="Y8" s="53"/>
    </row>
    <row r="9" spans="1:25" s="40" customFormat="1" ht="15" customHeight="1" x14ac:dyDescent="0.35">
      <c r="A9" s="144" t="s">
        <v>2171</v>
      </c>
      <c r="B9" s="145">
        <f ca="1">SUMIF(C:C,"WARNING_COUNT",B:B)</f>
        <v>0</v>
      </c>
      <c r="C9" s="144"/>
      <c r="D9" s="144"/>
      <c r="E9" s="144"/>
      <c r="F9" s="144"/>
      <c r="G9" s="144"/>
      <c r="H9" s="53"/>
      <c r="I9" s="224" t="s">
        <v>2514</v>
      </c>
      <c r="J9" s="224"/>
      <c r="K9" s="224"/>
      <c r="L9" s="224"/>
      <c r="M9" s="224"/>
      <c r="N9" s="224"/>
      <c r="O9" s="224"/>
      <c r="P9" s="224"/>
      <c r="Q9" s="224"/>
      <c r="R9" s="224"/>
      <c r="S9" s="224"/>
      <c r="T9" s="224"/>
      <c r="U9" s="224"/>
      <c r="V9" s="224"/>
      <c r="W9" s="224"/>
      <c r="X9" s="224"/>
      <c r="Y9" s="53"/>
    </row>
    <row r="10" spans="1:25" s="40" customFormat="1" ht="15.75" customHeight="1" x14ac:dyDescent="0.35">
      <c r="A10" s="144" t="s">
        <v>2172</v>
      </c>
      <c r="B10" s="145" t="b">
        <f ca="1">B9&gt;0</f>
        <v>0</v>
      </c>
      <c r="C10" s="144"/>
      <c r="D10" s="144"/>
      <c r="E10" s="144"/>
      <c r="F10" s="144"/>
      <c r="G10" s="144"/>
      <c r="H10" s="53"/>
      <c r="I10" s="225"/>
      <c r="J10" s="225"/>
      <c r="K10" s="225"/>
      <c r="L10" s="225"/>
      <c r="M10" s="225"/>
      <c r="N10" s="225"/>
      <c r="O10" s="225"/>
      <c r="P10" s="225"/>
      <c r="Q10" s="225"/>
      <c r="R10" s="225"/>
      <c r="S10" s="225"/>
      <c r="T10" s="225"/>
      <c r="U10" s="225"/>
      <c r="V10" s="225"/>
      <c r="W10" s="225"/>
      <c r="X10" s="225"/>
      <c r="Y10" s="53"/>
    </row>
    <row r="11" spans="1:25" s="40" customFormat="1" ht="6" customHeight="1" x14ac:dyDescent="0.35">
      <c r="A11" s="144" t="s">
        <v>2173</v>
      </c>
      <c r="B11" s="145" t="str">
        <f ca="1">IF(B10,1,"")</f>
        <v/>
      </c>
      <c r="C11" s="144"/>
      <c r="D11" s="144"/>
      <c r="E11" s="144"/>
      <c r="F11" s="144"/>
      <c r="G11" s="144"/>
      <c r="H11" s="53"/>
      <c r="I11" s="225"/>
      <c r="J11" s="225"/>
      <c r="K11" s="225"/>
      <c r="L11" s="225"/>
      <c r="M11" s="225"/>
      <c r="N11" s="225"/>
      <c r="O11" s="225"/>
      <c r="P11" s="225"/>
      <c r="Q11" s="225"/>
      <c r="R11" s="225"/>
      <c r="S11" s="225"/>
      <c r="T11" s="225"/>
      <c r="U11" s="225"/>
      <c r="V11" s="225"/>
      <c r="W11" s="225"/>
      <c r="X11" s="225"/>
      <c r="Y11" s="53"/>
    </row>
    <row r="12" spans="1:25" s="40" customFormat="1" ht="1.5" customHeight="1" x14ac:dyDescent="0.2">
      <c r="A12" s="144" t="s">
        <v>2174</v>
      </c>
      <c r="B12" s="143" t="str">
        <f ca="1">IF(B10,B9&amp;" "&amp;'$DB.CONFIG'!#REF!,"")</f>
        <v/>
      </c>
      <c r="C12" s="144"/>
      <c r="D12" s="144"/>
      <c r="E12" s="144"/>
      <c r="F12" s="144"/>
      <c r="G12" s="144"/>
      <c r="H12" s="53"/>
      <c r="I12" s="225"/>
      <c r="J12" s="225"/>
      <c r="K12" s="225"/>
      <c r="L12" s="225"/>
      <c r="M12" s="225"/>
      <c r="N12" s="225"/>
      <c r="O12" s="225"/>
      <c r="P12" s="225"/>
      <c r="Q12" s="225"/>
      <c r="R12" s="225"/>
      <c r="S12" s="225"/>
      <c r="T12" s="225"/>
      <c r="U12" s="225"/>
      <c r="V12" s="225"/>
      <c r="W12" s="225"/>
      <c r="X12" s="225"/>
      <c r="Y12" s="53"/>
    </row>
    <row r="13" spans="1:25" s="40" customFormat="1" ht="0.75" customHeight="1" x14ac:dyDescent="0.35">
      <c r="A13" s="144" t="s">
        <v>2178</v>
      </c>
      <c r="B13" s="145">
        <f ca="1">SUMIF(C:C,"ERROR_COUNT",B:B)</f>
        <v>0</v>
      </c>
      <c r="C13" s="144"/>
      <c r="D13" s="144"/>
      <c r="E13" s="144"/>
      <c r="F13" s="144"/>
      <c r="G13" s="144"/>
      <c r="H13" s="53"/>
      <c r="I13" s="225"/>
      <c r="J13" s="225"/>
      <c r="K13" s="225"/>
      <c r="L13" s="225"/>
      <c r="M13" s="225"/>
      <c r="N13" s="225"/>
      <c r="O13" s="225"/>
      <c r="P13" s="225"/>
      <c r="Q13" s="225"/>
      <c r="R13" s="225"/>
      <c r="S13" s="225"/>
      <c r="T13" s="225"/>
      <c r="U13" s="225"/>
      <c r="V13" s="225"/>
      <c r="W13" s="225"/>
      <c r="X13" s="225"/>
      <c r="Y13" s="53"/>
    </row>
    <row r="14" spans="1:25" s="40" customFormat="1" ht="3.75" customHeight="1" x14ac:dyDescent="0.35">
      <c r="A14" s="146" t="s">
        <v>2182</v>
      </c>
      <c r="B14" s="147">
        <f>ROW(H23)</f>
        <v>23</v>
      </c>
      <c r="C14" s="144"/>
      <c r="D14" s="144"/>
      <c r="E14" s="144"/>
      <c r="F14" s="144"/>
      <c r="G14" s="144"/>
      <c r="H14" s="53"/>
      <c r="I14" s="225"/>
      <c r="J14" s="225"/>
      <c r="K14" s="225"/>
      <c r="L14" s="225"/>
      <c r="M14" s="225"/>
      <c r="N14" s="225"/>
      <c r="O14" s="225"/>
      <c r="P14" s="225"/>
      <c r="Q14" s="225"/>
      <c r="R14" s="225"/>
      <c r="S14" s="225"/>
      <c r="T14" s="225"/>
      <c r="U14" s="225"/>
      <c r="V14" s="225"/>
      <c r="W14" s="225"/>
      <c r="X14" s="225"/>
      <c r="Y14" s="53"/>
    </row>
    <row r="15" spans="1:25" s="40" customFormat="1" ht="21.75" customHeight="1" x14ac:dyDescent="0.35">
      <c r="A15" s="146" t="s">
        <v>2183</v>
      </c>
      <c r="B15" s="147">
        <f>ROW(H25)</f>
        <v>25</v>
      </c>
      <c r="C15" s="144"/>
      <c r="D15" s="144"/>
      <c r="E15" s="144"/>
      <c r="F15" s="144"/>
      <c r="G15" s="144"/>
      <c r="H15" s="53"/>
      <c r="I15" s="225"/>
      <c r="J15" s="225"/>
      <c r="K15" s="225"/>
      <c r="L15" s="225"/>
      <c r="M15" s="225"/>
      <c r="N15" s="225"/>
      <c r="O15" s="225"/>
      <c r="P15" s="225"/>
      <c r="Q15" s="225"/>
      <c r="R15" s="225"/>
      <c r="S15" s="225"/>
      <c r="T15" s="225"/>
      <c r="U15" s="225"/>
      <c r="V15" s="225"/>
      <c r="W15" s="225"/>
      <c r="X15" s="225"/>
      <c r="Y15" s="53"/>
    </row>
    <row r="16" spans="1:25" s="40" customFormat="1" ht="60.75" customHeight="1" x14ac:dyDescent="0.35">
      <c r="A16" s="146" t="s">
        <v>2184</v>
      </c>
      <c r="B16" s="147">
        <f>B15-B14+1</f>
        <v>3</v>
      </c>
      <c r="C16" s="144"/>
      <c r="D16" s="144"/>
      <c r="E16" s="144"/>
      <c r="F16" s="144"/>
      <c r="G16" s="144"/>
      <c r="H16" s="53"/>
      <c r="I16" s="225"/>
      <c r="J16" s="225"/>
      <c r="K16" s="225"/>
      <c r="L16" s="225"/>
      <c r="M16" s="225"/>
      <c r="N16" s="225"/>
      <c r="O16" s="225"/>
      <c r="P16" s="225"/>
      <c r="Q16" s="225"/>
      <c r="R16" s="225"/>
      <c r="S16" s="225"/>
      <c r="T16" s="225"/>
      <c r="U16" s="225"/>
      <c r="V16" s="225"/>
      <c r="W16" s="225"/>
      <c r="X16" s="225"/>
      <c r="Y16" s="53"/>
    </row>
    <row r="17" spans="1:25" s="40" customFormat="1" ht="26.25" customHeight="1" x14ac:dyDescent="0.35">
      <c r="A17" s="144"/>
      <c r="B17" s="144"/>
      <c r="C17" s="144"/>
      <c r="D17" s="144"/>
      <c r="E17" s="144"/>
      <c r="F17" s="144"/>
      <c r="G17" s="144"/>
      <c r="H17" s="53"/>
      <c r="I17" s="223" t="s">
        <v>2406</v>
      </c>
      <c r="J17" s="223"/>
      <c r="K17" s="223"/>
      <c r="L17" s="223"/>
      <c r="M17" s="223"/>
      <c r="N17" s="223"/>
      <c r="O17" s="223"/>
      <c r="P17" s="223"/>
      <c r="Q17" s="223"/>
      <c r="R17" s="223"/>
      <c r="S17" s="223"/>
      <c r="T17" s="223"/>
      <c r="U17" s="223"/>
      <c r="V17" s="223"/>
      <c r="W17" s="223"/>
      <c r="X17" s="223"/>
      <c r="Y17" s="53"/>
    </row>
    <row r="18" spans="1:25" s="40" customFormat="1" ht="6.75" customHeight="1" x14ac:dyDescent="0.35">
      <c r="A18" s="148" t="s">
        <v>121</v>
      </c>
      <c r="B18" s="149" t="s">
        <v>2371</v>
      </c>
      <c r="C18" s="150"/>
      <c r="D18" s="151"/>
      <c r="E18" s="151"/>
      <c r="F18" s="151"/>
      <c r="G18" s="152" t="str">
        <f>B41</f>
        <v>Homebuyer Information</v>
      </c>
      <c r="H18" s="53"/>
      <c r="I18" s="54"/>
      <c r="J18" s="53"/>
      <c r="K18" s="53"/>
      <c r="L18" s="53"/>
      <c r="M18" s="53"/>
      <c r="N18" s="53"/>
      <c r="O18" s="53"/>
      <c r="P18" s="53"/>
      <c r="Q18" s="53"/>
      <c r="R18" s="53"/>
      <c r="S18" s="53"/>
      <c r="T18" s="53"/>
      <c r="U18" s="53"/>
      <c r="V18" s="53"/>
      <c r="W18" s="53"/>
      <c r="X18" s="53"/>
      <c r="Y18" s="53"/>
    </row>
    <row r="19" spans="1:25" s="40" customFormat="1" ht="22" customHeight="1" x14ac:dyDescent="0.25">
      <c r="A19" s="153" t="s">
        <v>2231</v>
      </c>
      <c r="B19" s="154" t="str">
        <f>IF(I30="","",I30)</f>
        <v/>
      </c>
      <c r="C19" s="144">
        <f ca="1">VLOOKUP(A19,DB_TBL_DATA_FIELDS[[FIELD_ID]:[PCT_CALC_FIELD_STATUS_CODE]],22,FALSE)</f>
        <v>1</v>
      </c>
      <c r="D19" s="144" t="str">
        <f>IF(VLOOKUP(A19,DB_TBL_DATA_FIELDS[[FIELD_ID]:[ERROR_MESSAGE]],23,FALSE)&lt;&gt;0,VLOOKUP(A19,DB_TBL_DATA_FIELDS[[FIELD_ID]:[ERROR_MESSAGE]],23,FALSE),"")</f>
        <v/>
      </c>
      <c r="E19" s="144">
        <f>VLOOKUP(A19,DB_TBL_DATA_FIELDS[[#All],[FIELD_ID]:[RANGE_VALIDATION_MAX]],18,FALSE)</f>
        <v>0</v>
      </c>
      <c r="F19" s="144">
        <f>VLOOKUP(A19,DB_TBL_DATA_FIELDS[[#All],[FIELD_ID]:[RANGE_VALIDATION_MAX]],19,FALSE)</f>
        <v>100</v>
      </c>
      <c r="G19" s="144">
        <f ca="1">IF(C19&lt;0,"",C19)</f>
        <v>1</v>
      </c>
      <c r="H19" s="84"/>
      <c r="I19" s="55" t="s">
        <v>28</v>
      </c>
      <c r="J19" s="56">
        <f>1</f>
        <v>1</v>
      </c>
      <c r="K19" s="57"/>
      <c r="L19" s="57"/>
      <c r="M19" s="55" t="s">
        <v>2186</v>
      </c>
      <c r="N19" s="56">
        <f>2</f>
        <v>2</v>
      </c>
      <c r="O19" s="78"/>
      <c r="P19" s="78"/>
      <c r="Q19" s="55" t="s">
        <v>2187</v>
      </c>
      <c r="R19" s="56">
        <f>0</f>
        <v>0</v>
      </c>
      <c r="S19" s="78"/>
      <c r="T19" s="78"/>
      <c r="U19" s="216" t="s">
        <v>2188</v>
      </c>
      <c r="V19" s="217"/>
      <c r="W19" s="217"/>
      <c r="X19" s="218"/>
      <c r="Y19" s="69"/>
    </row>
    <row r="20" spans="1:25" s="40" customFormat="1" ht="22" customHeight="1" x14ac:dyDescent="0.25">
      <c r="A20" s="153" t="s">
        <v>2235</v>
      </c>
      <c r="B20" s="154" t="str">
        <f>IF(O30="","",O30)</f>
        <v/>
      </c>
      <c r="C20" s="144">
        <f ca="1">VLOOKUP(A20,DB_TBL_DATA_FIELDS[[FIELD_ID]:[PCT_CALC_FIELD_STATUS_CODE]],22,FALSE)</f>
        <v>-1</v>
      </c>
      <c r="D20" s="144" t="str">
        <f>IF(VLOOKUP(A20,DB_TBL_DATA_FIELDS[[FIELD_ID]:[ERROR_MESSAGE]],23,FALSE)&lt;&gt;0,VLOOKUP(A20,DB_TBL_DATA_FIELDS[[FIELD_ID]:[ERROR_MESSAGE]],23,FALSE),"")</f>
        <v/>
      </c>
      <c r="E20" s="144">
        <f>VLOOKUP(A20,DB_TBL_DATA_FIELDS[[#All],[FIELD_ID]:[RANGE_VALIDATION_MAX]],18,FALSE)</f>
        <v>0</v>
      </c>
      <c r="F20" s="144">
        <f>VLOOKUP(A20,DB_TBL_DATA_FIELDS[[#All],[FIELD_ID]:[RANGE_VALIDATION_MAX]],19,FALSE)</f>
        <v>30</v>
      </c>
      <c r="G20" s="144" t="str">
        <f t="shared" ref="G20:G29" ca="1" si="0">IF(C20&lt;0,"",C20)</f>
        <v/>
      </c>
      <c r="H20" s="69"/>
      <c r="I20" s="69"/>
      <c r="J20" s="39"/>
      <c r="K20" s="69"/>
      <c r="L20" s="39"/>
      <c r="M20" s="69"/>
      <c r="N20" s="39"/>
      <c r="O20" s="69"/>
      <c r="P20" s="39"/>
      <c r="Q20" s="69"/>
      <c r="R20" s="39"/>
      <c r="S20" s="69"/>
      <c r="T20" s="39"/>
      <c r="U20" s="69"/>
      <c r="V20" s="39"/>
      <c r="W20" s="69"/>
      <c r="X20" s="39"/>
      <c r="Y20" s="69"/>
    </row>
    <row r="21" spans="1:25" s="40" customFormat="1" ht="22" customHeight="1" thickBot="1" x14ac:dyDescent="0.4">
      <c r="A21" s="153" t="s">
        <v>2234</v>
      </c>
      <c r="B21" s="154" t="str">
        <f>IF(S30="","",S30)</f>
        <v/>
      </c>
      <c r="C21" s="144">
        <f ca="1">VLOOKUP(A21,DB_TBL_DATA_FIELDS[[FIELD_ID]:[PCT_CALC_FIELD_STATUS_CODE]],22,FALSE)</f>
        <v>1</v>
      </c>
      <c r="D21" s="144" t="str">
        <f>IF(VLOOKUP(A21,DB_TBL_DATA_FIELDS[[FIELD_ID]:[ERROR_MESSAGE]],23,FALSE)&lt;&gt;0,VLOOKUP(A21,DB_TBL_DATA_FIELDS[[FIELD_ID]:[ERROR_MESSAGE]],23,FALSE),"")</f>
        <v/>
      </c>
      <c r="E21" s="144">
        <f>VLOOKUP(A21,DB_TBL_DATA_FIELDS[[#All],[FIELD_ID]:[RANGE_VALIDATION_MAX]],18,FALSE)</f>
        <v>0</v>
      </c>
      <c r="F21" s="144">
        <f>VLOOKUP(A21,DB_TBL_DATA_FIELDS[[#All],[FIELD_ID]:[RANGE_VALIDATION_MAX]],19,FALSE)</f>
        <v>30</v>
      </c>
      <c r="G21" s="144">
        <f t="shared" ca="1" si="0"/>
        <v>1</v>
      </c>
      <c r="H21" s="78"/>
      <c r="I21" s="41" t="s">
        <v>197</v>
      </c>
      <c r="J21" s="86"/>
      <c r="K21" s="86"/>
      <c r="L21" s="86"/>
      <c r="M21" s="86"/>
      <c r="N21" s="86"/>
      <c r="O21" s="86"/>
      <c r="P21" s="86"/>
      <c r="Q21" s="86"/>
      <c r="R21" s="86"/>
      <c r="S21" s="86"/>
      <c r="T21" s="86"/>
      <c r="U21" s="86"/>
      <c r="V21" s="86"/>
      <c r="W21" s="86"/>
      <c r="X21" s="58"/>
      <c r="Y21" s="78"/>
    </row>
    <row r="22" spans="1:25" s="40" customFormat="1" ht="22" customHeight="1" x14ac:dyDescent="0.35">
      <c r="A22" s="155" t="s">
        <v>2378</v>
      </c>
      <c r="B22" s="145" t="str">
        <f ca="1">VLOOKUP(A22,'$DB.DATA'!D:H,5,FALSE)</f>
        <v/>
      </c>
      <c r="C22" s="144" t="str">
        <f ca="1">VLOOKUP(A22,DB_TBL_DATA_FIELDS[[FIELD_ID]:[PCT_CALC_FIELD_STATUS_CODE]],22,FALSE)</f>
        <v/>
      </c>
      <c r="D22" s="144" t="str">
        <f>IF(VLOOKUP(A22,DB_TBL_DATA_FIELDS[[FIELD_ID]:[ERROR_MESSAGE]],23,FALSE)&lt;&gt;0,VLOOKUP(A22,DB_TBL_DATA_FIELDS[[FIELD_ID]:[ERROR_MESSAGE]],23,FALSE),"")</f>
        <v/>
      </c>
      <c r="E22" s="144">
        <f>VLOOKUP(A22,DB_TBL_DATA_FIELDS[[#All],[FIELD_ID]:[RANGE_VALIDATION_MAX]],18,FALSE)</f>
        <v>0</v>
      </c>
      <c r="F22" s="144">
        <f>VLOOKUP(A22,DB_TBL_DATA_FIELDS[[#All],[FIELD_ID]:[RANGE_VALIDATION_MAX]],19,FALSE)</f>
        <v>0</v>
      </c>
      <c r="G22" s="144" t="str">
        <f t="shared" ref="G22:G25" ca="1" si="1">IF(C22&lt;0,"",C22)</f>
        <v/>
      </c>
      <c r="H22" s="85"/>
      <c r="I22" s="59" t="s">
        <v>2372</v>
      </c>
      <c r="J22" s="42"/>
      <c r="K22" s="42"/>
      <c r="L22" s="42"/>
      <c r="M22" s="42"/>
      <c r="N22" s="42"/>
      <c r="O22" s="59" t="s">
        <v>2373</v>
      </c>
      <c r="P22" s="79"/>
      <c r="Q22" s="60" t="s">
        <v>2372</v>
      </c>
      <c r="R22" s="42"/>
      <c r="S22" s="42"/>
      <c r="T22" s="42"/>
      <c r="U22" s="42"/>
      <c r="V22" s="42"/>
      <c r="W22" s="59" t="s">
        <v>2373</v>
      </c>
      <c r="X22" s="42"/>
      <c r="Y22" s="78"/>
    </row>
    <row r="23" spans="1:25" s="40" customFormat="1" ht="22" customHeight="1" x14ac:dyDescent="0.35">
      <c r="A23" s="155" t="s">
        <v>2421</v>
      </c>
      <c r="B23" s="154" t="str">
        <f>IF(I32="","",I32)</f>
        <v/>
      </c>
      <c r="C23" s="144">
        <f ca="1">VLOOKUP(A23,DB_TBL_DATA_FIELDS[[FIELD_ID]:[PCT_CALC_FIELD_STATUS_CODE]],22,FALSE)</f>
        <v>-1</v>
      </c>
      <c r="D23" s="144" t="str">
        <f>IF(VLOOKUP(A23,DB_TBL_DATA_FIELDS[[FIELD_ID]:[ERROR_MESSAGE]],23,FALSE)&lt;&gt;0,VLOOKUP(A23,DB_TBL_DATA_FIELDS[[FIELD_ID]:[ERROR_MESSAGE]],23,FALSE),"")</f>
        <v/>
      </c>
      <c r="E23" s="144">
        <f>VLOOKUP(A23,DB_TBL_DATA_FIELDS[[#All],[FIELD_ID]:[RANGE_VALIDATION_MAX]],18,FALSE)</f>
        <v>0</v>
      </c>
      <c r="F23" s="144">
        <f>VLOOKUP(A23,DB_TBL_DATA_FIELDS[[#All],[FIELD_ID]:[RANGE_VALIDATION_MAX]],19,FALSE)</f>
        <v>100</v>
      </c>
      <c r="G23" s="144" t="str">
        <f t="shared" ca="1" si="1"/>
        <v/>
      </c>
      <c r="H23" s="78"/>
      <c r="I23" s="214" t="str">
        <f>ROMAN(ROW()-$B$14+1)&amp;".     "&amp;IFERROR(VLOOKUP("SECTION_"&amp;(ROW()-$B$14+1)&amp;"_TOC_LABEL",A:B,2,FALSE),"")</f>
        <v>I.     Homebuyer Information</v>
      </c>
      <c r="J23" s="215"/>
      <c r="K23" s="215"/>
      <c r="L23" s="215"/>
      <c r="M23" s="215"/>
      <c r="N23" s="53" t="str">
        <f>IF(IFERROR(VLOOKUP("SECTION_"&amp;(ROW()-$B$14+1)&amp;"_WARNING_FLAG",A:B,2,FALSE),FALSE),1,"")</f>
        <v/>
      </c>
      <c r="O23" s="61" t="str">
        <f ca="1">IFERROR(VLOOKUP("SECTION_"&amp;(ROW()-$B$14+1)&amp;"_STATUS_TEXT",A:B,2,FALSE),"")</f>
        <v>Not Started</v>
      </c>
      <c r="P23" s="62" t="str">
        <f ca="1">IFERROR(VLOOKUP("SECTION_"&amp;(ROW()-$B$14+1)&amp;"_STATUS_CODE",A:B,2,FALSE),"")</f>
        <v/>
      </c>
      <c r="Q23" s="219" t="str">
        <f>ROMAN(ROW()-$B$14+$B$16+1)&amp;".     "&amp;IFERROR(VLOOKUP("SECTION_"&amp;(ROW()-$B$14+1+$B$16)&amp;"_TOC_LABEL",A:B,2,FALSE),"")</f>
        <v>IV.     Mortgage Information</v>
      </c>
      <c r="R23" s="220"/>
      <c r="S23" s="220"/>
      <c r="T23" s="220"/>
      <c r="U23" s="220"/>
      <c r="V23" s="53" t="str">
        <f>IF(IFERROR(VLOOKUP("SECTION_"&amp;(ROW()-$B$14+1+$B$16)&amp;"_WARNING_FLAG",A:B,2,FALSE),FALSE),1,"")</f>
        <v/>
      </c>
      <c r="W23" s="61" t="str">
        <f ca="1">IFERROR(VLOOKUP("SECTION_"&amp;(ROW()-$B$14+1+$B$16)&amp;"_STATUS_TEXT",A:B,2,FALSE),"")</f>
        <v>Not Started</v>
      </c>
      <c r="X23" s="53" t="str">
        <f ca="1">IFERROR(VLOOKUP("SECTION_"&amp;(ROW()-$B$14+1+$B$16)&amp;"_STATUS_CODE",A:B,2,FALSE),"")</f>
        <v/>
      </c>
      <c r="Y23" s="78"/>
    </row>
    <row r="24" spans="1:25" s="40" customFormat="1" ht="22" customHeight="1" x14ac:dyDescent="0.35">
      <c r="A24" s="155" t="s">
        <v>2422</v>
      </c>
      <c r="B24" s="154" t="str">
        <f>IF(O32="","",O32)</f>
        <v/>
      </c>
      <c r="C24" s="144">
        <f ca="1">VLOOKUP(A24,DB_TBL_DATA_FIELDS[[FIELD_ID]:[PCT_CALC_FIELD_STATUS_CODE]],22,FALSE)</f>
        <v>-1</v>
      </c>
      <c r="D24" s="144" t="str">
        <f>IF(VLOOKUP(A24,DB_TBL_DATA_FIELDS[[FIELD_ID]:[ERROR_MESSAGE]],23,FALSE)&lt;&gt;0,VLOOKUP(A24,DB_TBL_DATA_FIELDS[[FIELD_ID]:[ERROR_MESSAGE]],23,FALSE),"")</f>
        <v/>
      </c>
      <c r="E24" s="144">
        <f>VLOOKUP(A24,DB_TBL_DATA_FIELDS[[#All],[FIELD_ID]:[RANGE_VALIDATION_MAX]],18,FALSE)</f>
        <v>0</v>
      </c>
      <c r="F24" s="144">
        <f>VLOOKUP(A24,DB_TBL_DATA_FIELDS[[#All],[FIELD_ID]:[RANGE_VALIDATION_MAX]],19,FALSE)</f>
        <v>30</v>
      </c>
      <c r="G24" s="144" t="str">
        <f t="shared" ca="1" si="1"/>
        <v/>
      </c>
      <c r="H24" s="78"/>
      <c r="I24" s="214" t="str">
        <f>ROMAN(ROW()-$B$14+1)&amp;".     "&amp;IFERROR(VLOOKUP("SECTION_"&amp;(ROW()-$B$14+1)&amp;"_TOC_LABEL",A:B,2,FALSE),"")</f>
        <v>II.     Income Qualification</v>
      </c>
      <c r="J24" s="215"/>
      <c r="K24" s="215"/>
      <c r="L24" s="215"/>
      <c r="M24" s="215"/>
      <c r="N24" s="174" t="str">
        <f>IF(IFERROR(VLOOKUP("SECTION_"&amp;(ROW()-$B$14+1)&amp;"_WARNING_FLAG",A:B,2,FALSE),FALSE),1,"")</f>
        <v/>
      </c>
      <c r="O24" s="61" t="str">
        <f ca="1">IFERROR(VLOOKUP("SECTION_"&amp;(ROW()-$B$14+1)&amp;"_STATUS_TEXT",A:B,2,FALSE),"")</f>
        <v>Not Started</v>
      </c>
      <c r="P24" s="63" t="str">
        <f ca="1">IFERROR(VLOOKUP("SECTION_"&amp;(ROW()-$B$14+1)&amp;"_STATUS_CODE",A:B,2,FALSE),"")</f>
        <v/>
      </c>
      <c r="Q24" s="220" t="str">
        <f>ROMAN(ROW()-$B$14+$B$16+1)&amp;".     "&amp;IFERROR(VLOOKUP("SECTION_"&amp;(ROW()-$B$14+1+$B$16)&amp;"_TOC_LABEL",A:B,2,FALSE),"")</f>
        <v>V.     Other Grants or Mortgage Assistance</v>
      </c>
      <c r="R24" s="222"/>
      <c r="S24" s="222"/>
      <c r="T24" s="222"/>
      <c r="U24" s="222"/>
      <c r="V24" s="53" t="str">
        <f>IF(IFERROR(VLOOKUP("SECTION_"&amp;(ROW()-$B$14+1+$B$16)&amp;"_WARNING_FLAG",A:B,2,FALSE),FALSE),1,"")</f>
        <v/>
      </c>
      <c r="W24" s="61" t="str">
        <f ca="1">IFERROR(VLOOKUP("SECTION_"&amp;(ROW()-$B$14+1+$B$16)&amp;"_STATUS_TEXT",A:B,2,FALSE),"")</f>
        <v>Not Started</v>
      </c>
      <c r="X24" s="53" t="str">
        <f ca="1">IFERROR(VLOOKUP("SECTION_"&amp;(ROW()-$B$14+1+$B$16)&amp;"_STATUS_CODE",A:B,2,FALSE),"")</f>
        <v/>
      </c>
      <c r="Y24" s="78"/>
    </row>
    <row r="25" spans="1:25" s="40" customFormat="1" ht="22" customHeight="1" x14ac:dyDescent="0.35">
      <c r="A25" s="155" t="s">
        <v>2423</v>
      </c>
      <c r="B25" s="154" t="str">
        <f>IF(S32="","",S32)</f>
        <v/>
      </c>
      <c r="C25" s="144">
        <f ca="1">VLOOKUP(A25,DB_TBL_DATA_FIELDS[[FIELD_ID]:[PCT_CALC_FIELD_STATUS_CODE]],22,FALSE)</f>
        <v>-1</v>
      </c>
      <c r="D25" s="144" t="str">
        <f>IF(VLOOKUP(A25,DB_TBL_DATA_FIELDS[[FIELD_ID]:[ERROR_MESSAGE]],23,FALSE)&lt;&gt;0,VLOOKUP(A25,DB_TBL_DATA_FIELDS[[FIELD_ID]:[ERROR_MESSAGE]],23,FALSE),"")</f>
        <v/>
      </c>
      <c r="E25" s="144">
        <f>VLOOKUP(A25,DB_TBL_DATA_FIELDS[[#All],[FIELD_ID]:[RANGE_VALIDATION_MAX]],18,FALSE)</f>
        <v>0</v>
      </c>
      <c r="F25" s="144">
        <f>VLOOKUP(A25,DB_TBL_DATA_FIELDS[[#All],[FIELD_ID]:[RANGE_VALIDATION_MAX]],19,FALSE)</f>
        <v>30</v>
      </c>
      <c r="G25" s="144" t="str">
        <f t="shared" ca="1" si="1"/>
        <v/>
      </c>
      <c r="H25" s="78"/>
      <c r="I25" s="214" t="str">
        <f>ROMAN(ROW()-$B$14+1)&amp;".     "&amp;IFERROR(VLOOKUP("SECTION_"&amp;(ROW()-$B$14+1)&amp;"_TOC_LABEL",A:B,2,FALSE),"")</f>
        <v>III.     Purchase Property Address</v>
      </c>
      <c r="J25" s="215"/>
      <c r="K25" s="215"/>
      <c r="L25" s="215"/>
      <c r="M25" s="215"/>
      <c r="N25" s="175" t="str">
        <f>IF(IFERROR(VLOOKUP("SECTION_"&amp;(ROW()-$B$14+1)&amp;"_WARNING_FLAG",A:B,2,FALSE),FALSE),1,"")</f>
        <v/>
      </c>
      <c r="O25" s="61" t="str">
        <f ca="1">IFERROR(VLOOKUP("SECTION_"&amp;(ROW()-$B$14+1)&amp;"_STATUS_TEXT",A:B,2,FALSE),"")</f>
        <v>Not Started</v>
      </c>
      <c r="P25" s="63" t="str">
        <f ca="1">IFERROR(VLOOKUP("SECTION_"&amp;(ROW()-$B$14+1)&amp;"_STATUS_CODE",A:B,2,FALSE),"")</f>
        <v/>
      </c>
      <c r="Q25" s="219"/>
      <c r="R25" s="221"/>
      <c r="S25" s="221"/>
      <c r="T25" s="221"/>
      <c r="U25" s="221"/>
      <c r="V25" s="175" t="str">
        <f>IF(IFERROR(VLOOKUP("SECTION_"&amp;(ROW()-$B$14+1+$B$16)&amp;"_WARNING_FLAG",A:B,2,FALSE),FALSE),1,"")</f>
        <v/>
      </c>
      <c r="W25" s="78"/>
    </row>
    <row r="26" spans="1:25" s="40" customFormat="1" ht="22" customHeight="1" x14ac:dyDescent="0.35">
      <c r="A26" s="153" t="s">
        <v>2343</v>
      </c>
      <c r="B26" s="154" t="str">
        <f>IF(I35="","",I35)</f>
        <v/>
      </c>
      <c r="C26" s="144">
        <f ca="1">VLOOKUP(A26,DB_TBL_DATA_FIELDS[[FIELD_ID]:[PCT_CALC_FIELD_STATUS_CODE]],22,FALSE)</f>
        <v>1</v>
      </c>
      <c r="D26" s="144" t="str">
        <f>IF(VLOOKUP(A26,DB_TBL_DATA_FIELDS[[FIELD_ID]:[ERROR_MESSAGE]],23,FALSE)&lt;&gt;0,VLOOKUP(A26,DB_TBL_DATA_FIELDS[[FIELD_ID]:[ERROR_MESSAGE]],23,FALSE),"")</f>
        <v/>
      </c>
      <c r="E26" s="144">
        <f>VLOOKUP(A26,DB_TBL_DATA_FIELDS[[#All],[FIELD_ID]:[RANGE_VALIDATION_MAX]],18,FALSE)</f>
        <v>0</v>
      </c>
      <c r="F26" s="144">
        <f>VLOOKUP(A26,DB_TBL_DATA_FIELDS[[#All],[FIELD_ID]:[RANGE_VALIDATION_MAX]],19,FALSE)</f>
        <v>50</v>
      </c>
      <c r="G26" s="144">
        <f t="shared" ca="1" si="0"/>
        <v>1</v>
      </c>
      <c r="H26" s="78"/>
      <c r="I26" s="78"/>
      <c r="J26" s="39"/>
      <c r="K26" s="78"/>
      <c r="L26" s="39"/>
      <c r="M26" s="78"/>
      <c r="N26" s="39"/>
      <c r="O26" s="78"/>
      <c r="P26" s="39"/>
      <c r="Q26" s="78"/>
      <c r="R26" s="39"/>
      <c r="S26" s="78"/>
      <c r="T26" s="39"/>
      <c r="U26" s="78"/>
      <c r="V26" s="39"/>
      <c r="W26" s="78"/>
      <c r="X26" s="39"/>
      <c r="Y26" s="78"/>
    </row>
    <row r="27" spans="1:25" s="40" customFormat="1" ht="22" customHeight="1" thickBot="1" x14ac:dyDescent="0.4">
      <c r="A27" s="153" t="s">
        <v>2344</v>
      </c>
      <c r="B27" s="154" t="str">
        <f>IF(I36="","",I36)</f>
        <v/>
      </c>
      <c r="C27" s="144">
        <f ca="1">VLOOKUP(A27,DB_TBL_DATA_FIELDS[[FIELD_ID]:[PCT_CALC_FIELD_STATUS_CODE]],22,FALSE)</f>
        <v>-1</v>
      </c>
      <c r="D27" s="144" t="str">
        <f>IF(VLOOKUP(A27,DB_TBL_DATA_FIELDS[[FIELD_ID]:[ERROR_MESSAGE]],23,FALSE)&lt;&gt;0,VLOOKUP(A27,DB_TBL_DATA_FIELDS[[FIELD_ID]:[ERROR_MESSAGE]],23,FALSE),"")</f>
        <v/>
      </c>
      <c r="E27" s="144">
        <f>VLOOKUP(A27,DB_TBL_DATA_FIELDS[[#All],[FIELD_ID]:[RANGE_VALIDATION_MAX]],18,FALSE)</f>
        <v>0</v>
      </c>
      <c r="F27" s="144">
        <f>VLOOKUP(A27,DB_TBL_DATA_FIELDS[[#All],[FIELD_ID]:[RANGE_VALIDATION_MAX]],19,FALSE)</f>
        <v>50</v>
      </c>
      <c r="G27" s="144" t="str">
        <f t="shared" ca="1" si="0"/>
        <v/>
      </c>
      <c r="H27" s="80"/>
      <c r="I27" s="41" t="str">
        <f>B18</f>
        <v>Homebuyer Information</v>
      </c>
      <c r="J27" s="86"/>
      <c r="K27" s="86"/>
      <c r="L27" s="86"/>
      <c r="M27" s="86"/>
      <c r="N27" s="86"/>
      <c r="O27" s="86"/>
      <c r="P27" s="86"/>
      <c r="Q27" s="86"/>
      <c r="R27" s="86"/>
      <c r="S27" s="86"/>
      <c r="T27" s="86"/>
      <c r="U27" s="86"/>
      <c r="V27" s="86"/>
      <c r="W27" s="86"/>
      <c r="X27" s="58" t="str">
        <f ca="1">"Status: "&amp;$B$39</f>
        <v>Status: Not Started</v>
      </c>
      <c r="Y27" s="80"/>
    </row>
    <row r="28" spans="1:25" s="40" customFormat="1" ht="22" customHeight="1" x14ac:dyDescent="0.35">
      <c r="A28" s="153" t="s">
        <v>2345</v>
      </c>
      <c r="B28" s="154" t="str">
        <f>IF(I37="","",I37)</f>
        <v/>
      </c>
      <c r="C28" s="144">
        <f ca="1">VLOOKUP(A28,DB_TBL_DATA_FIELDS[[FIELD_ID]:[PCT_CALC_FIELD_STATUS_CODE]],22,FALSE)</f>
        <v>-1</v>
      </c>
      <c r="D28" s="144" t="str">
        <f>IF(VLOOKUP(A28,DB_TBL_DATA_FIELDS[[FIELD_ID]:[ERROR_MESSAGE]],23,FALSE)&lt;&gt;0,VLOOKUP(A28,DB_TBL_DATA_FIELDS[[FIELD_ID]:[ERROR_MESSAGE]],23,FALSE),"")</f>
        <v/>
      </c>
      <c r="E28" s="144">
        <f>VLOOKUP(A28,DB_TBL_DATA_FIELDS[[#All],[FIELD_ID]:[RANGE_VALIDATION_MAX]],18,FALSE)</f>
        <v>0</v>
      </c>
      <c r="F28" s="144">
        <f>VLOOKUP(A28,DB_TBL_DATA_FIELDS[[#All],[FIELD_ID]:[RANGE_VALIDATION_MAX]],19,FALSE)</f>
        <v>50</v>
      </c>
      <c r="G28" s="144" t="str">
        <f t="shared" ca="1" si="0"/>
        <v/>
      </c>
      <c r="H28" s="80"/>
      <c r="I28" s="80"/>
      <c r="J28" s="80"/>
      <c r="K28" s="80"/>
      <c r="L28" s="80"/>
      <c r="M28" s="80"/>
      <c r="N28" s="80"/>
      <c r="O28" s="80"/>
      <c r="P28" s="80"/>
      <c r="Q28" s="80"/>
      <c r="R28" s="80"/>
      <c r="S28" s="80"/>
      <c r="T28" s="80"/>
      <c r="U28" s="80"/>
      <c r="V28" s="80"/>
      <c r="W28" s="80"/>
      <c r="X28" s="80"/>
      <c r="Y28" s="80"/>
    </row>
    <row r="29" spans="1:25" s="40" customFormat="1" ht="22" customHeight="1" x14ac:dyDescent="0.35">
      <c r="A29" s="153" t="s">
        <v>2238</v>
      </c>
      <c r="B29" s="154" t="str">
        <f>IF(S35="","",S35)</f>
        <v/>
      </c>
      <c r="C29" s="144">
        <f ca="1">VLOOKUP(A29,DB_TBL_DATA_FIELDS[[FIELD_ID]:[PCT_CALC_FIELD_STATUS_CODE]],22,FALSE)</f>
        <v>1</v>
      </c>
      <c r="D29" s="144" t="str">
        <f>IF(VLOOKUP(A29,DB_TBL_DATA_FIELDS[[FIELD_ID]:[ERROR_MESSAGE]],23,FALSE)&lt;&gt;0,VLOOKUP(A29,DB_TBL_DATA_FIELDS[[FIELD_ID]:[ERROR_MESSAGE]],23,FALSE),"")</f>
        <v/>
      </c>
      <c r="E29" s="144">
        <f>VLOOKUP(A29,DB_TBL_DATA_FIELDS[[#All],[FIELD_ID]:[RANGE_VALIDATION_MAX]],18,FALSE)</f>
        <v>0.01</v>
      </c>
      <c r="F29" s="144">
        <f>VLOOKUP(A29,DB_TBL_DATA_FIELDS[[#All],[FIELD_ID]:[RANGE_VALIDATION_MAX]],19,FALSE)</f>
        <v>999999999999</v>
      </c>
      <c r="G29" s="144">
        <f t="shared" ca="1" si="0"/>
        <v>1</v>
      </c>
      <c r="H29" s="80"/>
      <c r="I29" s="78" t="s">
        <v>2377</v>
      </c>
      <c r="J29" s="78"/>
      <c r="K29" s="78"/>
      <c r="L29" s="78"/>
      <c r="M29" s="78"/>
      <c r="N29" s="78"/>
      <c r="O29" s="78" t="s">
        <v>2428</v>
      </c>
      <c r="P29" s="39"/>
      <c r="Q29" s="78"/>
      <c r="R29" s="39"/>
      <c r="S29" s="78" t="s">
        <v>2429</v>
      </c>
      <c r="T29" s="78"/>
      <c r="U29" s="78"/>
      <c r="V29" s="78"/>
      <c r="W29" s="78"/>
      <c r="X29" s="78"/>
      <c r="Y29" s="80"/>
    </row>
    <row r="30" spans="1:25" s="40" customFormat="1" ht="22" customHeight="1" x14ac:dyDescent="0.35">
      <c r="A30" s="153" t="s">
        <v>2242</v>
      </c>
      <c r="B30" s="154" t="str">
        <f t="shared" ref="B30:B31" si="2">IF(S36="","",S36)</f>
        <v/>
      </c>
      <c r="C30" s="144">
        <f ca="1">VLOOKUP(A30,DB_TBL_DATA_FIELDS[[FIELD_ID]:[PCT_CALC_FIELD_STATUS_CODE]],22,FALSE)</f>
        <v>-1</v>
      </c>
      <c r="D30" s="144" t="str">
        <f>IF(VLOOKUP(A30,DB_TBL_DATA_FIELDS[[FIELD_ID]:[ERROR_MESSAGE]],23,FALSE)&lt;&gt;0,VLOOKUP(A30,DB_TBL_DATA_FIELDS[[FIELD_ID]:[ERROR_MESSAGE]],23,FALSE),"")</f>
        <v/>
      </c>
      <c r="E30" s="144">
        <f>VLOOKUP(A30,DB_TBL_DATA_FIELDS[[#All],[FIELD_ID]:[RANGE_VALIDATION_MAX]],18,FALSE)</f>
        <v>0.01</v>
      </c>
      <c r="F30" s="144">
        <f>VLOOKUP(A30,DB_TBL_DATA_FIELDS[[#All],[FIELD_ID]:[RANGE_VALIDATION_MAX]],19,FALSE)</f>
        <v>999999999999</v>
      </c>
      <c r="G30" s="144" t="str">
        <f t="shared" ref="G30" ca="1" si="3">IF(C30&lt;0,"",C30)</f>
        <v/>
      </c>
      <c r="H30" s="80"/>
      <c r="I30" s="178"/>
      <c r="J30" s="198"/>
      <c r="K30" s="198"/>
      <c r="L30" s="198"/>
      <c r="M30" s="199"/>
      <c r="N30" s="56">
        <f ca="1">G19</f>
        <v>1</v>
      </c>
      <c r="O30" s="178"/>
      <c r="P30" s="198"/>
      <c r="Q30" s="199"/>
      <c r="R30" s="56" t="str">
        <f ca="1">G20</f>
        <v/>
      </c>
      <c r="S30" s="178"/>
      <c r="T30" s="198"/>
      <c r="U30" s="198"/>
      <c r="V30" s="198"/>
      <c r="W30" s="199"/>
      <c r="X30" s="56">
        <f ca="1">G21</f>
        <v>1</v>
      </c>
      <c r="Y30" s="80"/>
    </row>
    <row r="31" spans="1:25" s="40" customFormat="1" ht="22" customHeight="1" x14ac:dyDescent="0.35">
      <c r="A31" s="153" t="s">
        <v>2243</v>
      </c>
      <c r="B31" s="154" t="str">
        <f t="shared" si="2"/>
        <v/>
      </c>
      <c r="C31" s="144">
        <f ca="1">VLOOKUP(A31,DB_TBL_DATA_FIELDS[[FIELD_ID]:[PCT_CALC_FIELD_STATUS_CODE]],22,FALSE)</f>
        <v>-1</v>
      </c>
      <c r="D31" s="144" t="str">
        <f>IF(VLOOKUP(A31,DB_TBL_DATA_FIELDS[[FIELD_ID]:[ERROR_MESSAGE]],23,FALSE)&lt;&gt;0,VLOOKUP(A31,DB_TBL_DATA_FIELDS[[FIELD_ID]:[ERROR_MESSAGE]],23,FALSE),"")</f>
        <v/>
      </c>
      <c r="E31" s="144">
        <f>VLOOKUP(A31,DB_TBL_DATA_FIELDS[[#All],[FIELD_ID]:[RANGE_VALIDATION_MAX]],18,FALSE)</f>
        <v>0.01</v>
      </c>
      <c r="F31" s="144">
        <f>VLOOKUP(A31,DB_TBL_DATA_FIELDS[[#All],[FIELD_ID]:[RANGE_VALIDATION_MAX]],19,FALSE)</f>
        <v>999999999999</v>
      </c>
      <c r="G31" s="144" t="str">
        <f ca="1">IF(C31&lt;0,"",C31)</f>
        <v/>
      </c>
      <c r="H31" s="80"/>
      <c r="I31" s="78" t="s">
        <v>2430</v>
      </c>
      <c r="J31" s="78"/>
      <c r="K31" s="78"/>
      <c r="L31" s="78"/>
      <c r="M31" s="78"/>
      <c r="N31" s="78"/>
      <c r="O31" s="78" t="s">
        <v>2428</v>
      </c>
      <c r="P31" s="39"/>
      <c r="Q31" s="78"/>
      <c r="R31" s="39"/>
      <c r="S31" s="78" t="s">
        <v>2429</v>
      </c>
      <c r="T31" s="78"/>
      <c r="U31" s="78"/>
      <c r="V31" s="78"/>
      <c r="W31" s="78"/>
      <c r="X31" s="78"/>
      <c r="Y31" s="80"/>
    </row>
    <row r="32" spans="1:25" s="40" customFormat="1" ht="22" customHeight="1" x14ac:dyDescent="0.35">
      <c r="A32" s="153" t="s">
        <v>2239</v>
      </c>
      <c r="B32" s="145" t="str">
        <f ca="1">VLOOKUP(A32,'$DB.DATA'!D:H,5,FALSE)</f>
        <v/>
      </c>
      <c r="C32" s="144">
        <f ca="1">VLOOKUP(A32,DB_TBL_DATA_FIELDS[[FIELD_ID]:[PCT_CALC_FIELD_STATUS_CODE]],22,FALSE)</f>
        <v>1</v>
      </c>
      <c r="D32" s="144" t="str">
        <f ca="1">IF(VLOOKUP(A32,DB_TBL_DATA_FIELDS[[FIELD_ID]:[ERROR_MESSAGE]],23,FALSE)&lt;&gt;0,VLOOKUP(A32,DB_TBL_DATA_FIELDS[[FIELD_ID]:[ERROR_MESSAGE]],23,FALSE),"")</f>
        <v/>
      </c>
      <c r="E32" s="144">
        <f>VLOOKUP(A32,DB_TBL_DATA_FIELDS[[#All],[FIELD_ID]:[RANGE_VALIDATION_MAX]],18,FALSE)</f>
        <v>10000</v>
      </c>
      <c r="F32" s="144">
        <f>VLOOKUP(A32,DB_TBL_DATA_FIELDS[[#All],[FIELD_ID]:[RANGE_VALIDATION_MAX]],19,FALSE)</f>
        <v>999999999999</v>
      </c>
      <c r="G32" s="144">
        <f t="shared" ref="G32:G33" ca="1" si="4">IF(C32&lt;0,"",C32)</f>
        <v>1</v>
      </c>
      <c r="H32" s="80"/>
      <c r="I32" s="178"/>
      <c r="J32" s="198"/>
      <c r="K32" s="198"/>
      <c r="L32" s="198"/>
      <c r="M32" s="199"/>
      <c r="N32" s="56" t="str">
        <f ca="1">G23</f>
        <v/>
      </c>
      <c r="O32" s="178"/>
      <c r="P32" s="198"/>
      <c r="Q32" s="199"/>
      <c r="R32" s="56" t="str">
        <f ca="1">G24</f>
        <v/>
      </c>
      <c r="S32" s="178"/>
      <c r="T32" s="198"/>
      <c r="U32" s="198"/>
      <c r="V32" s="198"/>
      <c r="W32" s="199"/>
      <c r="X32" s="56" t="str">
        <f ca="1">G25</f>
        <v/>
      </c>
      <c r="Y32" s="80"/>
    </row>
    <row r="33" spans="1:25" s="40" customFormat="1" ht="22" customHeight="1" x14ac:dyDescent="0.35">
      <c r="A33" s="153" t="s">
        <v>2244</v>
      </c>
      <c r="B33" s="154" t="str">
        <f>IF(S41="","",S41)</f>
        <v/>
      </c>
      <c r="C33" s="144">
        <f ca="1">VLOOKUP(A33,DB_TBL_DATA_FIELDS[[FIELD_ID]:[PCT_CALC_FIELD_STATUS_CODE]],22,FALSE)</f>
        <v>1</v>
      </c>
      <c r="D33" s="144" t="str">
        <f>IF(VLOOKUP(A33,DB_TBL_DATA_FIELDS[[FIELD_ID]:[ERROR_MESSAGE]],23,FALSE)&lt;&gt;0,VLOOKUP(A33,DB_TBL_DATA_FIELDS[[FIELD_ID]:[ERROR_MESSAGE]],23,FALSE),"")</f>
        <v/>
      </c>
      <c r="E33" s="144">
        <f>VLOOKUP(A33,DB_TBL_DATA_FIELDS[[#All],[FIELD_ID]:[RANGE_VALIDATION_MAX]],18,FALSE)</f>
        <v>0.01</v>
      </c>
      <c r="F33" s="144">
        <f>VLOOKUP(A33,DB_TBL_DATA_FIELDS[[#All],[FIELD_ID]:[RANGE_VALIDATION_MAX]],19,FALSE)</f>
        <v>50000</v>
      </c>
      <c r="G33" s="144">
        <f t="shared" ca="1" si="4"/>
        <v>1</v>
      </c>
      <c r="H33" s="78"/>
      <c r="I33" s="78" t="s">
        <v>2446</v>
      </c>
      <c r="J33" s="78"/>
      <c r="K33" s="78"/>
      <c r="L33" s="78"/>
      <c r="M33" s="78"/>
      <c r="N33" s="78"/>
      <c r="O33" s="78"/>
      <c r="P33" s="78"/>
      <c r="Q33" s="78"/>
      <c r="R33" s="78"/>
      <c r="S33" s="78"/>
      <c r="T33" s="78"/>
      <c r="U33" s="78"/>
      <c r="V33" s="78"/>
      <c r="W33" s="110"/>
      <c r="X33" s="78"/>
      <c r="Y33" s="78"/>
    </row>
    <row r="34" spans="1:25" s="40" customFormat="1" ht="22" customHeight="1" x14ac:dyDescent="0.35">
      <c r="A34" s="156" t="s">
        <v>120</v>
      </c>
      <c r="B34" s="145" t="str">
        <f>"C"&amp;MATCH(LEFT(A34,LEN(A34)-LEN("_RANGE")),A:A,0)+1&amp;":C"&amp;(ROW()-1)</f>
        <v>C19:C33</v>
      </c>
      <c r="C34" s="144"/>
      <c r="D34" s="144"/>
      <c r="E34" s="144"/>
      <c r="F34" s="144"/>
      <c r="G34" s="144"/>
      <c r="H34" s="78"/>
      <c r="I34" s="180" t="s">
        <v>2381</v>
      </c>
      <c r="J34" s="180"/>
      <c r="K34" s="180"/>
      <c r="L34" s="180"/>
      <c r="M34" s="180"/>
      <c r="N34" s="180"/>
      <c r="O34" s="180"/>
      <c r="P34" s="180"/>
      <c r="Q34" s="180"/>
      <c r="R34" s="180"/>
      <c r="S34" s="181" t="s">
        <v>2382</v>
      </c>
      <c r="T34" s="181"/>
      <c r="U34" s="181"/>
      <c r="V34" s="181"/>
      <c r="W34" s="181"/>
      <c r="X34" s="78"/>
      <c r="Y34" s="78"/>
    </row>
    <row r="35" spans="1:25" s="40" customFormat="1" ht="22" customHeight="1" x14ac:dyDescent="0.35">
      <c r="A35" s="156" t="s">
        <v>114</v>
      </c>
      <c r="B35" s="145">
        <f ca="1">COUNTIF(INDIRECT($B34),2)</f>
        <v>0</v>
      </c>
      <c r="C35" s="144"/>
      <c r="D35" s="144"/>
      <c r="E35" s="144"/>
      <c r="F35" s="144"/>
      <c r="G35" s="144"/>
      <c r="H35" s="78"/>
      <c r="I35" s="178"/>
      <c r="J35" s="179"/>
      <c r="K35" s="179"/>
      <c r="L35" s="179"/>
      <c r="M35" s="179"/>
      <c r="N35" s="179"/>
      <c r="O35" s="179"/>
      <c r="P35" s="179"/>
      <c r="Q35" s="179"/>
      <c r="R35" s="65">
        <f ca="1">G26</f>
        <v>1</v>
      </c>
      <c r="S35" s="182"/>
      <c r="T35" s="183"/>
      <c r="U35" s="183"/>
      <c r="V35" s="183"/>
      <c r="W35" s="184"/>
      <c r="X35" s="56">
        <f ca="1">G29</f>
        <v>1</v>
      </c>
      <c r="Y35" s="78"/>
    </row>
    <row r="36" spans="1:25" s="40" customFormat="1" ht="22" customHeight="1" x14ac:dyDescent="0.35">
      <c r="A36" s="156" t="s">
        <v>115</v>
      </c>
      <c r="B36" s="145">
        <f ca="1">COUNTIF(INDIRECT($B34),0)+COUNTIF(INDIRECT($B34),1)+COUNTIF(INDIRECT($B34),2)</f>
        <v>6</v>
      </c>
      <c r="C36" s="144"/>
      <c r="D36" s="144"/>
      <c r="E36" s="144"/>
      <c r="F36" s="144"/>
      <c r="G36" s="144"/>
      <c r="H36" s="78"/>
      <c r="I36" s="178"/>
      <c r="J36" s="179"/>
      <c r="K36" s="179"/>
      <c r="L36" s="179"/>
      <c r="M36" s="179"/>
      <c r="N36" s="179"/>
      <c r="O36" s="179"/>
      <c r="P36" s="179"/>
      <c r="Q36" s="179"/>
      <c r="R36" s="65" t="str">
        <f ca="1">G27</f>
        <v/>
      </c>
      <c r="S36" s="185"/>
      <c r="T36" s="186"/>
      <c r="U36" s="186"/>
      <c r="V36" s="186"/>
      <c r="W36" s="187"/>
      <c r="X36" s="56" t="str">
        <f ca="1">G30</f>
        <v/>
      </c>
      <c r="Y36" s="78"/>
    </row>
    <row r="37" spans="1:25" s="40" customFormat="1" ht="22" customHeight="1" x14ac:dyDescent="0.35">
      <c r="A37" s="156" t="s">
        <v>116</v>
      </c>
      <c r="B37" s="145">
        <f ca="1">COUNTIF(INDIRECT($B34),0)</f>
        <v>0</v>
      </c>
      <c r="C37" s="144" t="s">
        <v>2179</v>
      </c>
      <c r="D37" s="144"/>
      <c r="E37" s="144"/>
      <c r="F37" s="144"/>
      <c r="G37" s="144"/>
      <c r="H37" s="78"/>
      <c r="I37" s="178"/>
      <c r="J37" s="179"/>
      <c r="K37" s="179"/>
      <c r="L37" s="179"/>
      <c r="M37" s="179"/>
      <c r="N37" s="179"/>
      <c r="O37" s="179"/>
      <c r="P37" s="179"/>
      <c r="Q37" s="179"/>
      <c r="R37" s="65" t="str">
        <f ca="1">G28</f>
        <v/>
      </c>
      <c r="S37" s="182"/>
      <c r="T37" s="183"/>
      <c r="U37" s="183"/>
      <c r="V37" s="183"/>
      <c r="W37" s="184"/>
      <c r="X37" s="56" t="str">
        <f ca="1">G31</f>
        <v/>
      </c>
      <c r="Y37" s="78"/>
    </row>
    <row r="38" spans="1:25" s="40" customFormat="1" ht="22" customHeight="1" x14ac:dyDescent="0.35">
      <c r="A38" s="156" t="s">
        <v>117</v>
      </c>
      <c r="B38" s="157">
        <f ca="1">IFERROR(B35/B36,1.01)</f>
        <v>0</v>
      </c>
      <c r="C38" s="144"/>
      <c r="D38" s="144"/>
      <c r="E38" s="144"/>
      <c r="F38" s="144"/>
      <c r="G38" s="144"/>
      <c r="H38" s="78"/>
      <c r="I38" s="120" t="s">
        <v>2383</v>
      </c>
      <c r="J38" s="78"/>
      <c r="K38" s="78"/>
      <c r="L38" s="78"/>
      <c r="M38" s="78"/>
      <c r="N38" s="78"/>
      <c r="O38" s="78"/>
      <c r="P38" s="78"/>
      <c r="Q38" s="78"/>
      <c r="R38" s="119"/>
      <c r="S38" s="203" t="str">
        <f ca="1">IF(B32&lt;&gt;"",B32,"")</f>
        <v/>
      </c>
      <c r="T38" s="203"/>
      <c r="U38" s="203"/>
      <c r="V38" s="203"/>
      <c r="W38" s="203"/>
      <c r="X38" s="56">
        <f ca="1">G32</f>
        <v>1</v>
      </c>
      <c r="Y38" s="78"/>
    </row>
    <row r="39" spans="1:25" s="40" customFormat="1" ht="22" customHeight="1" x14ac:dyDescent="0.35">
      <c r="A39" s="156" t="s">
        <v>118</v>
      </c>
      <c r="B39" s="158" t="str">
        <f ca="1">IF(B37&gt;0,"Data Error(s)",IF(B38=0,"Not Started",IF(B38&lt;1,ROUNDUP(B38*100,0)&amp;"% Done",IF(B38&gt;1,"Optional","Complete"))))</f>
        <v>Not Started</v>
      </c>
      <c r="C39" s="144"/>
      <c r="D39" s="144"/>
      <c r="E39" s="144"/>
      <c r="F39" s="144"/>
      <c r="G39" s="144"/>
      <c r="H39" s="78"/>
      <c r="J39" s="122"/>
      <c r="K39" s="122"/>
      <c r="L39" s="122"/>
      <c r="M39" s="122"/>
      <c r="N39" s="122"/>
      <c r="O39" s="122"/>
      <c r="P39" s="122"/>
      <c r="Q39" s="122"/>
      <c r="R39" s="122"/>
      <c r="S39" s="189" t="str">
        <f ca="1">D32</f>
        <v/>
      </c>
      <c r="T39" s="189"/>
      <c r="U39" s="189"/>
      <c r="V39" s="189"/>
      <c r="W39" s="189"/>
      <c r="X39" s="78"/>
      <c r="Y39" s="78"/>
    </row>
    <row r="40" spans="1:25" s="40" customFormat="1" ht="22" customHeight="1" x14ac:dyDescent="0.35">
      <c r="A40" s="156" t="s">
        <v>119</v>
      </c>
      <c r="B40" s="145" t="str">
        <f ca="1">IF(B37&gt;0,0,IF(B38&lt;1,"",2))</f>
        <v/>
      </c>
      <c r="C40" s="144"/>
      <c r="D40" s="144"/>
      <c r="E40" s="144"/>
      <c r="F40" s="144"/>
      <c r="G40" s="144"/>
      <c r="H40" s="78"/>
      <c r="I40" s="121"/>
      <c r="J40" s="121"/>
      <c r="K40" s="121"/>
      <c r="L40" s="121"/>
      <c r="M40" s="121"/>
      <c r="N40" s="121"/>
      <c r="O40" s="121"/>
      <c r="P40" s="121"/>
      <c r="Q40" s="121"/>
      <c r="R40" s="121"/>
      <c r="S40" s="204"/>
      <c r="T40" s="204"/>
      <c r="U40" s="204"/>
      <c r="V40" s="204"/>
      <c r="W40" s="204"/>
      <c r="X40" s="78"/>
      <c r="Y40" s="78"/>
    </row>
    <row r="41" spans="1:25" s="40" customFormat="1" ht="22" customHeight="1" x14ac:dyDescent="0.35">
      <c r="A41" s="156" t="s">
        <v>122</v>
      </c>
      <c r="B41" s="159" t="s">
        <v>2371</v>
      </c>
      <c r="C41" s="144"/>
      <c r="D41" s="144"/>
      <c r="E41" s="144"/>
      <c r="F41" s="144"/>
      <c r="G41" s="144"/>
      <c r="H41" s="78"/>
      <c r="I41" s="78" t="s">
        <v>2449</v>
      </c>
      <c r="J41" s="78"/>
      <c r="K41" s="78"/>
      <c r="L41" s="78"/>
      <c r="M41" s="78"/>
      <c r="N41" s="78"/>
      <c r="O41" s="78"/>
      <c r="P41" s="78"/>
      <c r="Q41" s="78"/>
      <c r="R41" s="78"/>
      <c r="S41" s="182"/>
      <c r="T41" s="183"/>
      <c r="U41" s="183"/>
      <c r="V41" s="183"/>
      <c r="W41" s="184"/>
      <c r="X41" s="56">
        <f ca="1">G33</f>
        <v>1</v>
      </c>
      <c r="Y41" s="78"/>
    </row>
    <row r="42" spans="1:25" ht="22" customHeight="1" x14ac:dyDescent="0.3">
      <c r="A42" s="160" t="s">
        <v>2161</v>
      </c>
      <c r="B42" s="145">
        <v>0</v>
      </c>
      <c r="C42" s="144" t="s">
        <v>2177</v>
      </c>
      <c r="D42" s="144"/>
      <c r="E42" s="144"/>
      <c r="F42" s="144"/>
      <c r="G42" s="144"/>
      <c r="H42" s="78"/>
      <c r="I42" s="209" t="s">
        <v>2450</v>
      </c>
      <c r="J42" s="209"/>
      <c r="K42" s="209"/>
      <c r="L42" s="209"/>
      <c r="M42" s="209"/>
      <c r="N42" s="209"/>
      <c r="O42" s="209"/>
      <c r="P42" s="209"/>
      <c r="Q42" s="209"/>
      <c r="R42" s="209"/>
      <c r="S42" s="209"/>
      <c r="T42" s="209"/>
      <c r="U42" s="209"/>
      <c r="V42" s="209"/>
      <c r="W42" s="209"/>
      <c r="X42" s="78"/>
      <c r="Y42" s="78"/>
    </row>
    <row r="43" spans="1:25" ht="22" customHeight="1" x14ac:dyDescent="0.3">
      <c r="A43" s="160" t="s">
        <v>2162</v>
      </c>
      <c r="B43" s="145" t="b">
        <f>(B42&gt;0)</f>
        <v>0</v>
      </c>
      <c r="C43" s="144"/>
      <c r="D43" s="144"/>
      <c r="E43" s="144"/>
      <c r="F43" s="144"/>
      <c r="G43" s="144"/>
      <c r="H43" s="78"/>
      <c r="I43" s="209"/>
      <c r="J43" s="209"/>
      <c r="K43" s="209"/>
      <c r="L43" s="209"/>
      <c r="M43" s="209"/>
      <c r="N43" s="209"/>
      <c r="O43" s="209"/>
      <c r="P43" s="209"/>
      <c r="Q43" s="209"/>
      <c r="R43" s="209"/>
      <c r="S43" s="209"/>
      <c r="T43" s="209"/>
      <c r="U43" s="209"/>
      <c r="V43" s="209"/>
      <c r="W43" s="209"/>
      <c r="X43" s="78"/>
      <c r="Y43" s="78"/>
    </row>
    <row r="44" spans="1:25" ht="22" customHeight="1" x14ac:dyDescent="0.3">
      <c r="A44" s="148" t="s">
        <v>123</v>
      </c>
      <c r="B44" s="149" t="s">
        <v>2374</v>
      </c>
      <c r="C44" s="150"/>
      <c r="D44" s="151"/>
      <c r="E44" s="151"/>
      <c r="F44" s="151"/>
      <c r="G44" s="152" t="str">
        <f>B59</f>
        <v>Income Qualification</v>
      </c>
      <c r="H44" s="78"/>
      <c r="I44" s="39"/>
      <c r="J44" s="78"/>
      <c r="L44" s="37"/>
      <c r="N44" s="37"/>
      <c r="P44" s="37"/>
      <c r="R44" s="37"/>
      <c r="T44" s="37"/>
      <c r="V44" s="37"/>
      <c r="X44" s="37"/>
    </row>
    <row r="45" spans="1:25" ht="22" customHeight="1" x14ac:dyDescent="0.3">
      <c r="A45" s="153" t="s">
        <v>2251</v>
      </c>
      <c r="B45" s="154" t="str">
        <f>IF(U52="","",U52)</f>
        <v/>
      </c>
      <c r="C45" s="144">
        <f ca="1">VLOOKUP(A45,DB_TBL_DATA_FIELDS[[FIELD_ID]:[PCT_CALC_FIELD_STATUS_CODE]],22,FALSE)</f>
        <v>1</v>
      </c>
      <c r="D45" s="144" t="str">
        <f>IF(VLOOKUP(A45,DB_TBL_DATA_FIELDS[[FIELD_ID]:[ERROR_MESSAGE]],23,FALSE)&lt;&gt;0,VLOOKUP(A45,DB_TBL_DATA_FIELDS[[FIELD_ID]:[ERROR_MESSAGE]],23,FALSE),"")</f>
        <v/>
      </c>
      <c r="E45" s="144">
        <f>VLOOKUP(A45,DB_TBL_DATA_FIELDS[[#All],[FIELD_ID]:[RANGE_VALIDATION_MAX]],18,FALSE)</f>
        <v>0</v>
      </c>
      <c r="F45" s="144">
        <f>VLOOKUP(A45,DB_TBL_DATA_FIELDS[[#All],[FIELD_ID]:[RANGE_VALIDATION_MAX]],19,FALSE)</f>
        <v>999999999999</v>
      </c>
      <c r="G45" s="144">
        <f t="shared" ref="G45" ca="1" si="5">IF(C45&lt;0,"",C45)</f>
        <v>1</v>
      </c>
      <c r="H45" s="78"/>
      <c r="I45" s="80"/>
      <c r="J45" s="78"/>
      <c r="K45" s="78"/>
      <c r="L45" s="78"/>
      <c r="M45" s="78"/>
      <c r="N45" s="78"/>
      <c r="O45" s="80"/>
      <c r="P45" s="39"/>
      <c r="Q45" s="78"/>
      <c r="R45" s="39"/>
      <c r="S45" s="78"/>
      <c r="T45" s="39"/>
      <c r="U45" s="78"/>
      <c r="V45" s="39"/>
      <c r="W45" s="78"/>
      <c r="X45" s="39"/>
      <c r="Y45" s="78"/>
    </row>
    <row r="46" spans="1:25" ht="22" customHeight="1" thickBot="1" x14ac:dyDescent="0.35">
      <c r="A46" s="161" t="s">
        <v>2254</v>
      </c>
      <c r="B46" s="162" t="str">
        <f>""</f>
        <v/>
      </c>
      <c r="C46" s="162" t="str">
        <f>VLOOKUP(A46,DB_TBL_DATA_FIELDS[[FIELD_ID]:[PCT_CALC_FIELD_STATUS_CODE]],22,FALSE)</f>
        <v/>
      </c>
      <c r="D46" s="162" t="str">
        <f>IF(VLOOKUP(A46,DB_TBL_DATA_FIELDS[[FIELD_ID]:[ERROR_MESSAGE]],23,FALSE)&lt;&gt;0,VLOOKUP(A46,DB_TBL_DATA_FIELDS[[FIELD_ID]:[ERROR_MESSAGE]],23,FALSE),"")</f>
        <v/>
      </c>
      <c r="E46" s="162">
        <f>VLOOKUP(A46,DB_TBL_DATA_FIELDS[[#All],[FIELD_ID]:[RANGE_VALIDATION_MAX]],18,FALSE)</f>
        <v>0</v>
      </c>
      <c r="F46" s="162">
        <f>VLOOKUP(A46,DB_TBL_DATA_FIELDS[[#All],[FIELD_ID]:[RANGE_VALIDATION_MAX]],19,FALSE)</f>
        <v>32767</v>
      </c>
      <c r="G46" s="162" t="str">
        <f t="shared" ref="G46:G48" si="6">IF(C46&lt;0,"",C46)</f>
        <v/>
      </c>
      <c r="H46" s="78"/>
      <c r="I46" s="41" t="str">
        <f>B44</f>
        <v>Income Qualification</v>
      </c>
      <c r="J46" s="86"/>
      <c r="K46" s="86"/>
      <c r="L46" s="86"/>
      <c r="M46" s="86"/>
      <c r="N46" s="86"/>
      <c r="O46" s="86"/>
      <c r="P46" s="86"/>
      <c r="Q46" s="86"/>
      <c r="R46" s="86"/>
      <c r="S46" s="86"/>
      <c r="T46" s="86"/>
      <c r="U46" s="86"/>
      <c r="V46" s="86"/>
      <c r="W46" s="86"/>
      <c r="X46" s="58" t="str">
        <f ca="1">"Status: "&amp;$B$57</f>
        <v>Status: Not Started</v>
      </c>
      <c r="Y46" s="78"/>
    </row>
    <row r="47" spans="1:25" ht="22" customHeight="1" x14ac:dyDescent="0.3">
      <c r="A47" s="153" t="s">
        <v>2260</v>
      </c>
      <c r="B47" s="145" t="str">
        <f ca="1">VLOOKUP(A47,'$DB.DATA'!D:H,5,FALSE)</f>
        <v/>
      </c>
      <c r="C47" s="144">
        <f ca="1">VLOOKUP(A47,DB_TBL_DATA_FIELDS[[FIELD_ID]:[PCT_CALC_FIELD_STATUS_CODE]],22,FALSE)</f>
        <v>-1</v>
      </c>
      <c r="D47" s="144" t="str">
        <f ca="1">IF(VLOOKUP(A47,DB_TBL_DATA_FIELDS[[FIELD_ID]:[ERROR_MESSAGE]],23,FALSE)&lt;&gt;0,VLOOKUP(A47,DB_TBL_DATA_FIELDS[[FIELD_ID]:[ERROR_MESSAGE]],23,FALSE),"")</f>
        <v/>
      </c>
      <c r="E47" s="144">
        <f>VLOOKUP(A47,DB_TBL_DATA_FIELDS[[#All],[FIELD_ID]:[RANGE_VALIDATION_MAX]],18,FALSE)</f>
        <v>0</v>
      </c>
      <c r="F47" s="144">
        <f>VLOOKUP(A47,DB_TBL_DATA_FIELDS[[#All],[FIELD_ID]:[RANGE_VALIDATION_MAX]],19,FALSE)</f>
        <v>1.4</v>
      </c>
      <c r="G47" s="144" t="str">
        <f t="shared" ca="1" si="6"/>
        <v/>
      </c>
      <c r="H47" s="78"/>
      <c r="I47" s="78"/>
      <c r="J47" s="39"/>
      <c r="K47" s="78"/>
      <c r="L47" s="39"/>
      <c r="M47" s="78"/>
      <c r="N47" s="39"/>
      <c r="O47" s="78"/>
      <c r="P47" s="39"/>
      <c r="Q47" s="78"/>
      <c r="R47" s="39"/>
      <c r="S47" s="78"/>
      <c r="T47" s="39"/>
      <c r="U47" s="78"/>
      <c r="V47" s="39"/>
      <c r="W47" s="78"/>
      <c r="X47" s="39"/>
      <c r="Y47" s="78"/>
    </row>
    <row r="48" spans="1:25" ht="22" customHeight="1" x14ac:dyDescent="0.3">
      <c r="A48" s="153" t="s">
        <v>2264</v>
      </c>
      <c r="B48" s="154" t="str">
        <f>IF(U51="","",U51)</f>
        <v/>
      </c>
      <c r="C48" s="144">
        <f ca="1">VLOOKUP(A48,DB_TBL_DATA_FIELDS[[FIELD_ID]:[PCT_CALC_FIELD_STATUS_CODE]],22,FALSE)</f>
        <v>1</v>
      </c>
      <c r="D48" s="144" t="str">
        <f>IF(VLOOKUP(A48,DB_TBL_DATA_FIELDS[[FIELD_ID]:[ERROR_MESSAGE]],23,FALSE)&lt;&gt;0,VLOOKUP(A48,DB_TBL_DATA_FIELDS[[FIELD_ID]:[ERROR_MESSAGE]],23,FALSE),"")</f>
        <v/>
      </c>
      <c r="E48" s="144">
        <f>VLOOKUP(A48,DB_TBL_DATA_FIELDS[[#All],[FIELD_ID]:[RANGE_VALIDATION_MAX]],18,FALSE)</f>
        <v>1900</v>
      </c>
      <c r="F48" s="144">
        <f>VLOOKUP(A48,DB_TBL_DATA_FIELDS[[#All],[FIELD_ID]:[RANGE_VALIDATION_MAX]],19,FALSE)</f>
        <v>9999</v>
      </c>
      <c r="G48" s="144">
        <f t="shared" ca="1" si="6"/>
        <v>1</v>
      </c>
      <c r="H48" s="78"/>
      <c r="I48" s="78"/>
      <c r="J48" s="39"/>
      <c r="K48" s="78"/>
      <c r="L48" s="39"/>
      <c r="M48" s="78"/>
      <c r="N48" s="39"/>
      <c r="O48" s="78"/>
      <c r="P48" s="39"/>
      <c r="Q48" s="78"/>
      <c r="R48" s="39"/>
      <c r="S48" s="78"/>
      <c r="T48" s="39"/>
      <c r="U48" s="78"/>
      <c r="V48" s="78"/>
      <c r="W48" s="78"/>
      <c r="X48" s="78"/>
      <c r="Y48" s="78"/>
    </row>
    <row r="49" spans="1:25" ht="22" customHeight="1" x14ac:dyDescent="0.3">
      <c r="A49" s="153" t="s">
        <v>2457</v>
      </c>
      <c r="B49" s="154" t="str">
        <f>IF(U54="","",U54)</f>
        <v/>
      </c>
      <c r="C49" s="144">
        <f ca="1">VLOOKUP(A49,DB_TBL_DATA_FIELDS[[FIELD_ID]:[PCT_CALC_FIELD_STATUS_CODE]],22,FALSE)</f>
        <v>1</v>
      </c>
      <c r="D49" s="144" t="str">
        <f>IF(VLOOKUP(A49,DB_TBL_DATA_FIELDS[[FIELD_ID]:[ERROR_MESSAGE]],23,FALSE)&lt;&gt;0,VLOOKUP(A49,DB_TBL_DATA_FIELDS[[FIELD_ID]:[ERROR_MESSAGE]],23,FALSE),"")</f>
        <v/>
      </c>
      <c r="E49" s="144">
        <f>VLOOKUP(A49,DB_TBL_DATA_FIELDS[[#All],[FIELD_ID]:[RANGE_VALIDATION_MAX]],18,FALSE)</f>
        <v>1</v>
      </c>
      <c r="F49" s="144">
        <f>VLOOKUP(A49,DB_TBL_DATA_FIELDS[[#All],[FIELD_ID]:[RANGE_VALIDATION_MAX]],19,FALSE)</f>
        <v>999999999999</v>
      </c>
      <c r="G49" s="144">
        <f t="shared" ref="G49:G51" ca="1" si="7">IF(C49&lt;0,"",C49)</f>
        <v>1</v>
      </c>
      <c r="H49" s="78"/>
      <c r="I49" s="78" t="s">
        <v>2459</v>
      </c>
      <c r="J49" s="39"/>
      <c r="K49" s="78"/>
      <c r="L49" s="39"/>
      <c r="M49" s="78"/>
      <c r="N49" s="39"/>
      <c r="O49" s="78"/>
      <c r="P49" s="39"/>
      <c r="Q49" s="210"/>
      <c r="R49" s="210"/>
      <c r="S49" s="210"/>
      <c r="T49" s="210"/>
      <c r="U49" s="210"/>
      <c r="V49" s="210"/>
      <c r="W49" s="210"/>
      <c r="X49" s="56">
        <f ca="1">G50</f>
        <v>1</v>
      </c>
      <c r="Y49" s="78"/>
    </row>
    <row r="50" spans="1:25" ht="22" customHeight="1" x14ac:dyDescent="0.3">
      <c r="A50" s="153" t="s">
        <v>2452</v>
      </c>
      <c r="B50" s="154" t="str">
        <f>IF(Q49="","",Q49)</f>
        <v/>
      </c>
      <c r="C50" s="144">
        <f ca="1">VLOOKUP(A50,DB_TBL_DATA_FIELDS[[FIELD_ID]:[PCT_CALC_FIELD_STATUS_CODE]],22,FALSE)</f>
        <v>1</v>
      </c>
      <c r="D50" s="144" t="str">
        <f>IF(VLOOKUP(A50,DB_TBL_DATA_FIELDS[[FIELD_ID]:[ERROR_MESSAGE]],23,FALSE)&lt;&gt;0,VLOOKUP(A50,DB_TBL_DATA_FIELDS[[FIELD_ID]:[ERROR_MESSAGE]],23,FALSE),"")</f>
        <v/>
      </c>
      <c r="E50" s="144">
        <f>VLOOKUP(A50,DB_TBL_DATA_FIELDS[[#All],[FIELD_ID]:[RANGE_VALIDATION_MAX]],18,FALSE)</f>
        <v>0</v>
      </c>
      <c r="F50" s="144">
        <f>VLOOKUP(A50,DB_TBL_DATA_FIELDS[[#All],[FIELD_ID]:[RANGE_VALIDATION_MAX]],19,FALSE)</f>
        <v>32767</v>
      </c>
      <c r="G50" s="144">
        <f t="shared" ca="1" si="7"/>
        <v>1</v>
      </c>
      <c r="H50" s="78"/>
      <c r="I50" s="78"/>
      <c r="J50" s="39"/>
      <c r="K50" s="78"/>
      <c r="L50" s="39"/>
      <c r="M50" s="78"/>
      <c r="N50" s="39"/>
      <c r="O50" s="78"/>
      <c r="P50" s="39"/>
      <c r="Q50" s="78"/>
      <c r="R50" s="39"/>
      <c r="S50" s="78"/>
      <c r="T50" s="39"/>
      <c r="U50" s="78"/>
      <c r="V50" s="78"/>
      <c r="W50" s="78"/>
      <c r="X50" s="78"/>
      <c r="Y50" s="78"/>
    </row>
    <row r="51" spans="1:25" ht="22" customHeight="1" x14ac:dyDescent="0.3">
      <c r="A51" s="153" t="s">
        <v>2453</v>
      </c>
      <c r="B51" s="154" t="str">
        <f>IF(U53="","",U53)</f>
        <v/>
      </c>
      <c r="C51" s="144">
        <f ca="1">VLOOKUP(A51,DB_TBL_DATA_FIELDS[[FIELD_ID]:[PCT_CALC_FIELD_STATUS_CODE]],22,FALSE)</f>
        <v>1</v>
      </c>
      <c r="D51" s="144" t="str">
        <f>IF(VLOOKUP(A51,DB_TBL_DATA_FIELDS[[FIELD_ID]:[ERROR_MESSAGE]],23,FALSE)&lt;&gt;0,VLOOKUP(A51,DB_TBL_DATA_FIELDS[[FIELD_ID]:[ERROR_MESSAGE]],23,FALSE),"")</f>
        <v/>
      </c>
      <c r="E51" s="144">
        <f>VLOOKUP(A51,DB_TBL_DATA_FIELDS[[#All],[FIELD_ID]:[RANGE_VALIDATION_MAX]],18,FALSE)</f>
        <v>1</v>
      </c>
      <c r="F51" s="144">
        <f>VLOOKUP(A51,DB_TBL_DATA_FIELDS[[#All],[FIELD_ID]:[RANGE_VALIDATION_MAX]],19,FALSE)</f>
        <v>999999999999</v>
      </c>
      <c r="G51" s="144">
        <f t="shared" ca="1" si="7"/>
        <v>1</v>
      </c>
      <c r="H51" s="78"/>
      <c r="I51" s="78" t="s">
        <v>2385</v>
      </c>
      <c r="J51" s="39"/>
      <c r="K51" s="78"/>
      <c r="L51" s="39"/>
      <c r="M51" s="78"/>
      <c r="N51" s="39"/>
      <c r="O51" s="78"/>
      <c r="P51" s="39"/>
      <c r="Q51" s="78"/>
      <c r="R51" s="39"/>
      <c r="S51" s="78"/>
      <c r="T51" s="39"/>
      <c r="U51" s="205"/>
      <c r="V51" s="206"/>
      <c r="W51" s="207"/>
      <c r="X51" s="56">
        <f ca="1">G48</f>
        <v>1</v>
      </c>
      <c r="Y51" s="78"/>
    </row>
    <row r="52" spans="1:25" ht="22" customHeight="1" x14ac:dyDescent="0.3">
      <c r="A52" s="156" t="s">
        <v>124</v>
      </c>
      <c r="B52" s="145" t="str">
        <f>"C"&amp;MATCH(LEFT(A52,LEN(A52)-LEN("_RANGE")),A:A,0)+1&amp;":C"&amp;(ROW()-1)</f>
        <v>C45:C51</v>
      </c>
      <c r="C52" s="144"/>
      <c r="D52" s="144"/>
      <c r="E52" s="144"/>
      <c r="F52" s="144"/>
      <c r="G52" s="144"/>
      <c r="H52" s="78"/>
      <c r="I52" s="78" t="s">
        <v>2252</v>
      </c>
      <c r="J52" s="39"/>
      <c r="K52" s="78"/>
      <c r="L52" s="39"/>
      <c r="M52" s="78"/>
      <c r="N52" s="39"/>
      <c r="O52" s="78"/>
      <c r="P52" s="39"/>
      <c r="Q52" s="78"/>
      <c r="R52" s="39"/>
      <c r="S52" s="78"/>
      <c r="T52" s="39"/>
      <c r="U52" s="205"/>
      <c r="V52" s="206"/>
      <c r="W52" s="207"/>
      <c r="X52" s="56">
        <f ca="1">G45</f>
        <v>1</v>
      </c>
      <c r="Y52" s="78"/>
    </row>
    <row r="53" spans="1:25" ht="22" customHeight="1" x14ac:dyDescent="0.3">
      <c r="A53" s="156" t="s">
        <v>125</v>
      </c>
      <c r="B53" s="145">
        <f ca="1">COUNTIF(INDIRECT($B$52),2)</f>
        <v>0</v>
      </c>
      <c r="C53" s="144"/>
      <c r="D53" s="144"/>
      <c r="E53" s="144"/>
      <c r="F53" s="144"/>
      <c r="G53" s="144"/>
      <c r="H53" s="78"/>
      <c r="I53" s="120" t="s">
        <v>2456</v>
      </c>
      <c r="J53" s="39"/>
      <c r="K53" s="78"/>
      <c r="L53" s="39"/>
      <c r="M53" s="78"/>
      <c r="N53" s="39"/>
      <c r="O53" s="78"/>
      <c r="P53" s="39"/>
      <c r="Q53" s="78"/>
      <c r="R53" s="39"/>
      <c r="S53" s="78"/>
      <c r="T53" s="39"/>
      <c r="U53" s="200"/>
      <c r="V53" s="201"/>
      <c r="W53" s="202"/>
      <c r="X53" s="56">
        <f ca="1">G51</f>
        <v>1</v>
      </c>
      <c r="Y53" s="78"/>
    </row>
    <row r="54" spans="1:25" ht="22" customHeight="1" x14ac:dyDescent="0.3">
      <c r="A54" s="156" t="s">
        <v>126</v>
      </c>
      <c r="B54" s="145">
        <f ca="1">COUNTIF(INDIRECT($B$52),0)+COUNTIF(INDIRECT($B$52),1)+COUNTIF(INDIRECT($B$52),2)</f>
        <v>5</v>
      </c>
      <c r="C54" s="144"/>
      <c r="D54" s="144"/>
      <c r="E54" s="144"/>
      <c r="F54" s="144"/>
      <c r="G54" s="144"/>
      <c r="H54" s="78"/>
      <c r="I54" s="78" t="s">
        <v>2458</v>
      </c>
      <c r="J54" s="39"/>
      <c r="K54" s="78"/>
      <c r="L54" s="39"/>
      <c r="M54" s="78"/>
      <c r="N54" s="39"/>
      <c r="O54" s="78"/>
      <c r="P54" s="39"/>
      <c r="Q54" s="78"/>
      <c r="S54" s="69"/>
      <c r="T54" s="39"/>
      <c r="U54" s="200"/>
      <c r="V54" s="201"/>
      <c r="W54" s="202"/>
      <c r="X54" s="56">
        <f ca="1">G49</f>
        <v>1</v>
      </c>
      <c r="Y54" s="78"/>
    </row>
    <row r="55" spans="1:25" ht="24" customHeight="1" x14ac:dyDescent="0.3">
      <c r="A55" s="156" t="s">
        <v>127</v>
      </c>
      <c r="B55" s="145">
        <f ca="1">COUNTIF(INDIRECT($B$52),0)</f>
        <v>0</v>
      </c>
      <c r="C55" s="144" t="s">
        <v>2179</v>
      </c>
      <c r="D55" s="144"/>
      <c r="E55" s="144"/>
      <c r="F55" s="144"/>
      <c r="G55" s="144"/>
      <c r="H55" s="78"/>
      <c r="I55" s="211" t="s">
        <v>2515</v>
      </c>
      <c r="J55" s="211"/>
      <c r="K55" s="211"/>
      <c r="L55" s="211"/>
      <c r="M55" s="211"/>
      <c r="N55" s="211"/>
      <c r="O55" s="211"/>
      <c r="P55" s="211"/>
      <c r="Q55" s="211"/>
      <c r="R55" s="211"/>
      <c r="S55" s="78"/>
      <c r="T55" s="39"/>
      <c r="U55" s="208" t="str">
        <f ca="1">B47</f>
        <v/>
      </c>
      <c r="V55" s="208"/>
      <c r="W55" s="208"/>
      <c r="X55" s="56" t="str">
        <f ca="1">G47</f>
        <v/>
      </c>
      <c r="Y55" s="78"/>
    </row>
    <row r="56" spans="1:25" ht="22" customHeight="1" x14ac:dyDescent="0.3">
      <c r="A56" s="156" t="s">
        <v>128</v>
      </c>
      <c r="B56" s="157">
        <f ca="1">IFERROR(B53/B54,1.01)</f>
        <v>0</v>
      </c>
      <c r="C56" s="144"/>
      <c r="D56" s="144"/>
      <c r="E56" s="144"/>
      <c r="F56" s="144"/>
      <c r="G56" s="144"/>
      <c r="H56" s="78"/>
      <c r="S56" s="177" t="str">
        <f ca="1">D47</f>
        <v/>
      </c>
      <c r="T56" s="177"/>
      <c r="U56" s="177"/>
      <c r="V56" s="177"/>
      <c r="W56" s="177"/>
      <c r="Y56" s="78"/>
    </row>
    <row r="57" spans="1:25" ht="22" customHeight="1" x14ac:dyDescent="0.3">
      <c r="A57" s="156" t="s">
        <v>129</v>
      </c>
      <c r="B57" s="158" t="str">
        <f ca="1">IF(B55&gt;0,"Data Error(s)",IF(B56=0,"Not Started",IF(B56&lt;1,ROUNDUP(B56*100,0)&amp;"% Done",IF(B56&gt;1,"Optional","Complete"))))</f>
        <v>Not Started</v>
      </c>
      <c r="C57" s="144"/>
      <c r="D57" s="144"/>
      <c r="E57" s="144"/>
      <c r="F57" s="144"/>
      <c r="G57" s="144"/>
      <c r="H57" s="78"/>
      <c r="S57" s="170"/>
      <c r="T57" s="170"/>
      <c r="U57" s="170"/>
      <c r="V57" s="170"/>
      <c r="W57" s="170"/>
      <c r="Y57" s="78"/>
    </row>
    <row r="58" spans="1:25" ht="22" customHeight="1" x14ac:dyDescent="0.3">
      <c r="A58" s="156" t="s">
        <v>130</v>
      </c>
      <c r="B58" s="145" t="str">
        <f ca="1">IF(B55&gt;0,0,IF(B56&lt;1,"",2))</f>
        <v/>
      </c>
      <c r="C58" s="144"/>
      <c r="D58" s="144"/>
      <c r="E58" s="144"/>
      <c r="F58" s="144"/>
      <c r="G58" s="144"/>
      <c r="H58" s="78"/>
      <c r="I58" s="78"/>
      <c r="J58" s="39"/>
      <c r="K58" s="78"/>
      <c r="L58" s="39"/>
      <c r="M58" s="78"/>
      <c r="N58" s="39"/>
      <c r="O58" s="78"/>
      <c r="P58" s="39"/>
      <c r="Q58" s="78"/>
      <c r="R58" s="39"/>
      <c r="S58" s="78"/>
      <c r="T58" s="39"/>
      <c r="U58" s="78"/>
      <c r="V58" s="78"/>
      <c r="W58" s="78"/>
      <c r="X58" s="78"/>
      <c r="Y58" s="78"/>
    </row>
    <row r="59" spans="1:25" ht="22" customHeight="1" thickBot="1" x14ac:dyDescent="0.35">
      <c r="A59" s="156" t="s">
        <v>131</v>
      </c>
      <c r="B59" s="159" t="s">
        <v>2374</v>
      </c>
      <c r="C59" s="144"/>
      <c r="D59" s="144"/>
      <c r="E59" s="144"/>
      <c r="F59" s="144"/>
      <c r="G59" s="144"/>
      <c r="H59" s="78"/>
      <c r="I59" s="41" t="str">
        <f>B62</f>
        <v>Purchase Property Address</v>
      </c>
      <c r="J59" s="86"/>
      <c r="K59" s="86"/>
      <c r="L59" s="86"/>
      <c r="M59" s="86"/>
      <c r="N59" s="86"/>
      <c r="O59" s="86"/>
      <c r="P59" s="86"/>
      <c r="Q59" s="86"/>
      <c r="R59" s="86"/>
      <c r="S59" s="86"/>
      <c r="T59" s="86"/>
      <c r="U59" s="86"/>
      <c r="V59" s="86"/>
      <c r="W59" s="86"/>
      <c r="X59" s="58" t="str">
        <f ca="1">"Status: "&amp;$B$76</f>
        <v>Status: Not Started</v>
      </c>
      <c r="Y59" s="78"/>
    </row>
    <row r="60" spans="1:25" ht="22" customHeight="1" x14ac:dyDescent="0.3">
      <c r="A60" s="160" t="s">
        <v>2169</v>
      </c>
      <c r="B60" s="145">
        <v>0</v>
      </c>
      <c r="C60" s="144" t="s">
        <v>2177</v>
      </c>
      <c r="D60" s="144"/>
      <c r="E60" s="144"/>
      <c r="F60" s="144"/>
      <c r="G60" s="144"/>
      <c r="H60" s="78"/>
      <c r="I60" s="78"/>
      <c r="J60" s="39"/>
      <c r="K60" s="78"/>
      <c r="L60" s="39"/>
      <c r="M60" s="78"/>
      <c r="N60" s="39"/>
      <c r="O60" s="78"/>
      <c r="P60" s="39"/>
      <c r="Q60" s="78"/>
      <c r="R60" s="39"/>
      <c r="S60" s="78"/>
      <c r="T60" s="39"/>
      <c r="U60" s="78"/>
      <c r="V60" s="39"/>
      <c r="W60" s="78"/>
      <c r="X60" s="39"/>
      <c r="Y60" s="78"/>
    </row>
    <row r="61" spans="1:25" ht="22" customHeight="1" x14ac:dyDescent="0.3">
      <c r="A61" s="160" t="s">
        <v>2170</v>
      </c>
      <c r="B61" s="145" t="b">
        <f>(B60&gt;0)</f>
        <v>0</v>
      </c>
      <c r="C61" s="144"/>
      <c r="D61" s="144"/>
      <c r="E61" s="144"/>
      <c r="F61" s="144"/>
      <c r="G61" s="144"/>
      <c r="H61" s="69"/>
      <c r="I61" s="78" t="s">
        <v>150</v>
      </c>
      <c r="J61" s="78"/>
      <c r="K61" s="78"/>
      <c r="L61" s="78"/>
      <c r="M61" s="78"/>
      <c r="N61" s="78"/>
      <c r="O61" s="78"/>
      <c r="P61" s="78"/>
      <c r="S61" s="78" t="s">
        <v>2384</v>
      </c>
      <c r="T61" s="78"/>
      <c r="U61" s="78"/>
      <c r="V61" s="78"/>
      <c r="W61" s="78"/>
      <c r="X61" s="78"/>
      <c r="Y61" s="69"/>
    </row>
    <row r="62" spans="1:25" ht="22" customHeight="1" x14ac:dyDescent="0.3">
      <c r="A62" s="148" t="s">
        <v>151</v>
      </c>
      <c r="B62" s="149" t="s">
        <v>2445</v>
      </c>
      <c r="C62" s="150"/>
      <c r="D62" s="151"/>
      <c r="E62" s="151"/>
      <c r="F62" s="151"/>
      <c r="G62" s="152" t="str">
        <f>B78</f>
        <v>Purchase Property Address</v>
      </c>
      <c r="H62" s="69"/>
      <c r="I62" s="178"/>
      <c r="J62" s="179"/>
      <c r="K62" s="179"/>
      <c r="L62" s="179"/>
      <c r="M62" s="179"/>
      <c r="N62" s="179"/>
      <c r="O62" s="179"/>
      <c r="P62" s="179"/>
      <c r="Q62" s="197"/>
      <c r="R62" s="56">
        <f ca="1">G65</f>
        <v>1</v>
      </c>
      <c r="S62" s="178"/>
      <c r="T62" s="198"/>
      <c r="U62" s="198"/>
      <c r="V62" s="198"/>
      <c r="W62" s="199"/>
      <c r="X62" s="56" t="str">
        <f ca="1">G66</f>
        <v/>
      </c>
      <c r="Y62" s="69"/>
    </row>
    <row r="63" spans="1:25" ht="22" customHeight="1" x14ac:dyDescent="0.3">
      <c r="A63" s="161" t="s">
        <v>2267</v>
      </c>
      <c r="B63" s="162" t="str">
        <f>""</f>
        <v/>
      </c>
      <c r="C63" s="162" t="str">
        <f>VLOOKUP(A63,DB_TBL_DATA_FIELDS[[FIELD_ID]:[PCT_CALC_FIELD_STATUS_CODE]],22,FALSE)</f>
        <v/>
      </c>
      <c r="D63" s="162" t="str">
        <f>IF(VLOOKUP(A63,DB_TBL_DATA_FIELDS[[FIELD_ID]:[ERROR_MESSAGE]],23,FALSE)&lt;&gt;0,VLOOKUP(A63,DB_TBL_DATA_FIELDS[[FIELD_ID]:[ERROR_MESSAGE]],23,FALSE),"")</f>
        <v/>
      </c>
      <c r="E63" s="162">
        <f>VLOOKUP(A63,DB_TBL_DATA_FIELDS[[#All],[FIELD_ID]:[RANGE_VALIDATION_MAX]],18,FALSE)</f>
        <v>0</v>
      </c>
      <c r="F63" s="162">
        <f>VLOOKUP(A63,DB_TBL_DATA_FIELDS[[#All],[FIELD_ID]:[RANGE_VALIDATION_MAX]],19,FALSE)</f>
        <v>1</v>
      </c>
      <c r="G63" s="162" t="str">
        <f t="shared" ref="G63:G70" si="8">IF(C63&lt;0,"",C63)</f>
        <v/>
      </c>
      <c r="H63" s="69"/>
      <c r="I63" s="78" t="s">
        <v>54</v>
      </c>
      <c r="J63" s="78"/>
      <c r="K63" s="78"/>
      <c r="L63" s="78"/>
      <c r="M63" s="135" t="s">
        <v>2454</v>
      </c>
      <c r="N63" s="81"/>
      <c r="O63" s="78" t="s">
        <v>2189</v>
      </c>
      <c r="P63" s="39"/>
      <c r="Q63" s="78"/>
      <c r="R63" s="39"/>
      <c r="S63" s="78" t="s">
        <v>2455</v>
      </c>
      <c r="T63" s="39"/>
      <c r="U63" s="78"/>
      <c r="X63" s="39"/>
      <c r="Y63" s="69"/>
    </row>
    <row r="64" spans="1:25" ht="22" customHeight="1" x14ac:dyDescent="0.3">
      <c r="A64" s="161" t="s">
        <v>2270</v>
      </c>
      <c r="B64" s="162" t="str">
        <f>""</f>
        <v/>
      </c>
      <c r="C64" s="162" t="str">
        <f>VLOOKUP(A64,DB_TBL_DATA_FIELDS[[FIELD_ID]:[PCT_CALC_FIELD_STATUS_CODE]],22,FALSE)</f>
        <v/>
      </c>
      <c r="D64" s="162" t="str">
        <f>IF(VLOOKUP(A64,DB_TBL_DATA_FIELDS[[FIELD_ID]:[ERROR_MESSAGE]],23,FALSE)&lt;&gt;0,VLOOKUP(A64,DB_TBL_DATA_FIELDS[[FIELD_ID]:[ERROR_MESSAGE]],23,FALSE),"")</f>
        <v/>
      </c>
      <c r="E64" s="162">
        <f>VLOOKUP(A64,DB_TBL_DATA_FIELDS[[#All],[FIELD_ID]:[RANGE_VALIDATION_MAX]],18,FALSE)</f>
        <v>0</v>
      </c>
      <c r="F64" s="162">
        <f>VLOOKUP(A64,DB_TBL_DATA_FIELDS[[#All],[FIELD_ID]:[RANGE_VALIDATION_MAX]],19,FALSE)</f>
        <v>1</v>
      </c>
      <c r="G64" s="162" t="str">
        <f t="shared" si="8"/>
        <v/>
      </c>
      <c r="H64" s="69"/>
      <c r="I64" s="178"/>
      <c r="J64" s="179"/>
      <c r="K64" s="197"/>
      <c r="L64" s="56">
        <f ca="1">G67</f>
        <v>1</v>
      </c>
      <c r="M64" s="90"/>
      <c r="N64" s="56">
        <f ca="1">G69</f>
        <v>1</v>
      </c>
      <c r="O64" s="82"/>
      <c r="P64" s="88" t="s">
        <v>55</v>
      </c>
      <c r="Q64" s="83"/>
      <c r="R64" s="56">
        <f ca="1">G68</f>
        <v>1</v>
      </c>
      <c r="S64" s="178"/>
      <c r="T64" s="179"/>
      <c r="U64" s="179"/>
      <c r="V64" s="179"/>
      <c r="W64" s="197"/>
      <c r="X64" s="56">
        <f ca="1">G70</f>
        <v>1</v>
      </c>
      <c r="Y64" s="69"/>
    </row>
    <row r="65" spans="1:26" ht="22" customHeight="1" x14ac:dyDescent="0.3">
      <c r="A65" s="153" t="s">
        <v>2272</v>
      </c>
      <c r="B65" s="154" t="str">
        <f>IF(I62="","",I62)</f>
        <v/>
      </c>
      <c r="C65" s="144">
        <f ca="1">VLOOKUP(A65,DB_TBL_DATA_FIELDS[[FIELD_ID]:[PCT_CALC_FIELD_STATUS_CODE]],22,FALSE)</f>
        <v>1</v>
      </c>
      <c r="D65" s="144" t="str">
        <f>IF(VLOOKUP(A65,DB_TBL_DATA_FIELDS[[FIELD_ID]:[ERROR_MESSAGE]],23,FALSE)&lt;&gt;0,VLOOKUP(A65,DB_TBL_DATA_FIELDS[[FIELD_ID]:[ERROR_MESSAGE]],23,FALSE),"")</f>
        <v/>
      </c>
      <c r="E65" s="144">
        <f>VLOOKUP(A65,DB_TBL_DATA_FIELDS[[#All],[FIELD_ID]:[RANGE_VALIDATION_MAX]],18,FALSE)</f>
        <v>0</v>
      </c>
      <c r="F65" s="144">
        <f>VLOOKUP(A65,DB_TBL_DATA_FIELDS[[#All],[FIELD_ID]:[RANGE_VALIDATION_MAX]],19,FALSE)</f>
        <v>100</v>
      </c>
      <c r="G65" s="144">
        <f t="shared" ca="1" si="8"/>
        <v>1</v>
      </c>
      <c r="H65" s="69"/>
      <c r="I65" s="78"/>
      <c r="J65" s="39"/>
      <c r="K65" s="78"/>
      <c r="L65" s="39"/>
      <c r="M65" s="78"/>
      <c r="N65" s="39"/>
      <c r="O65" s="78"/>
      <c r="P65" s="39"/>
      <c r="Q65" s="78"/>
      <c r="R65" s="39"/>
      <c r="S65" s="78"/>
      <c r="T65" s="39"/>
      <c r="U65" s="69"/>
      <c r="V65" s="39"/>
      <c r="W65" s="69"/>
      <c r="X65" s="39"/>
      <c r="Y65" s="69"/>
    </row>
    <row r="66" spans="1:26" ht="22" customHeight="1" x14ac:dyDescent="0.3">
      <c r="A66" s="153" t="s">
        <v>2273</v>
      </c>
      <c r="B66" s="154" t="str">
        <f>IF(S62="","",S62)</f>
        <v/>
      </c>
      <c r="C66" s="144">
        <f ca="1">VLOOKUP(A66,DB_TBL_DATA_FIELDS[[FIELD_ID]:[PCT_CALC_FIELD_STATUS_CODE]],22,FALSE)</f>
        <v>-1</v>
      </c>
      <c r="D66" s="144" t="str">
        <f>IF(VLOOKUP(A66,DB_TBL_DATA_FIELDS[[FIELD_ID]:[ERROR_MESSAGE]],23,FALSE)&lt;&gt;0,VLOOKUP(A66,DB_TBL_DATA_FIELDS[[FIELD_ID]:[ERROR_MESSAGE]],23,FALSE),"")</f>
        <v/>
      </c>
      <c r="E66" s="144">
        <f>VLOOKUP(A66,DB_TBL_DATA_FIELDS[[#All],[FIELD_ID]:[RANGE_VALIDATION_MAX]],18,FALSE)</f>
        <v>0</v>
      </c>
      <c r="F66" s="144">
        <f>VLOOKUP(A66,DB_TBL_DATA_FIELDS[[#All],[FIELD_ID]:[RANGE_VALIDATION_MAX]],19,FALSE)</f>
        <v>100</v>
      </c>
      <c r="G66" s="144" t="str">
        <f t="shared" ca="1" si="8"/>
        <v/>
      </c>
      <c r="H66" s="69"/>
      <c r="I66" s="78"/>
      <c r="J66" s="39"/>
      <c r="K66" s="78"/>
      <c r="L66" s="39"/>
      <c r="M66" s="78"/>
      <c r="N66" s="39"/>
      <c r="O66" s="78"/>
      <c r="P66" s="39"/>
      <c r="Q66" s="78"/>
      <c r="R66" s="39"/>
      <c r="S66" s="78"/>
      <c r="T66" s="39"/>
      <c r="U66" s="69"/>
      <c r="V66" s="39"/>
      <c r="W66" s="69"/>
      <c r="X66" s="39"/>
      <c r="Y66" s="69"/>
    </row>
    <row r="67" spans="1:26" ht="22" customHeight="1" thickBot="1" x14ac:dyDescent="0.35">
      <c r="A67" s="153" t="s">
        <v>2274</v>
      </c>
      <c r="B67" s="154" t="str">
        <f>IF(I64="","",I64)</f>
        <v/>
      </c>
      <c r="C67" s="144">
        <f ca="1">VLOOKUP(A67,DB_TBL_DATA_FIELDS[[FIELD_ID]:[PCT_CALC_FIELD_STATUS_CODE]],22,FALSE)</f>
        <v>1</v>
      </c>
      <c r="D67" s="144" t="str">
        <f>IF(VLOOKUP(A67,DB_TBL_DATA_FIELDS[[FIELD_ID]:[ERROR_MESSAGE]],23,FALSE)&lt;&gt;0,VLOOKUP(A67,DB_TBL_DATA_FIELDS[[FIELD_ID]:[ERROR_MESSAGE]],23,FALSE),"")</f>
        <v/>
      </c>
      <c r="E67" s="144">
        <f>VLOOKUP(A67,DB_TBL_DATA_FIELDS[[#All],[FIELD_ID]:[RANGE_VALIDATION_MAX]],18,FALSE)</f>
        <v>0</v>
      </c>
      <c r="F67" s="144">
        <f>VLOOKUP(A67,DB_TBL_DATA_FIELDS[[#All],[FIELD_ID]:[RANGE_VALIDATION_MAX]],19,FALSE)</f>
        <v>25</v>
      </c>
      <c r="G67" s="144">
        <f t="shared" ca="1" si="8"/>
        <v>1</v>
      </c>
      <c r="H67" s="69"/>
      <c r="I67" s="41" t="str">
        <f>B81</f>
        <v>Mortgage Information</v>
      </c>
      <c r="J67" s="86"/>
      <c r="K67" s="86"/>
      <c r="L67" s="86"/>
      <c r="M67" s="86"/>
      <c r="N67" s="86"/>
      <c r="O67" s="86"/>
      <c r="P67" s="86"/>
      <c r="Q67" s="86"/>
      <c r="R67" s="86"/>
      <c r="S67" s="86"/>
      <c r="T67" s="86"/>
      <c r="U67" s="86"/>
      <c r="V67" s="86"/>
      <c r="W67" s="86"/>
      <c r="X67" s="58" t="str">
        <f ca="1">"Status: "&amp;$B$113</f>
        <v>Status: Not Started</v>
      </c>
      <c r="Y67" s="69"/>
    </row>
    <row r="68" spans="1:26" ht="22" customHeight="1" x14ac:dyDescent="0.3">
      <c r="A68" s="153" t="s">
        <v>2275</v>
      </c>
      <c r="B68" s="154" t="str">
        <f>IF(AND(O64=0,Q64=0),"",IF(O64&lt;&gt;0,TEXT(O64,"00000"),"")&amp;IF(Q64&lt;&gt;0,"-"&amp;TEXT(Q64,"0000"),""))</f>
        <v/>
      </c>
      <c r="C68" s="144">
        <f ca="1">VLOOKUP(A68,DB_TBL_DATA_FIELDS[[FIELD_ID]:[PCT_CALC_FIELD_STATUS_CODE]],22,FALSE)</f>
        <v>1</v>
      </c>
      <c r="D68" s="144" t="str">
        <f>IF(VLOOKUP(A68,DB_TBL_DATA_FIELDS[[FIELD_ID]:[ERROR_MESSAGE]],23,FALSE)&lt;&gt;0,VLOOKUP(A68,DB_TBL_DATA_FIELDS[[FIELD_ID]:[ERROR_MESSAGE]],23,FALSE),"")</f>
        <v/>
      </c>
      <c r="E68" s="144">
        <f>VLOOKUP(A68,DB_TBL_DATA_FIELDS[[#All],[FIELD_ID]:[RANGE_VALIDATION_MAX]],18,FALSE)</f>
        <v>0</v>
      </c>
      <c r="F68" s="144">
        <f>VLOOKUP(A68,DB_TBL_DATA_FIELDS[[#All],[FIELD_ID]:[RANGE_VALIDATION_MAX]],19,FALSE)</f>
        <v>10</v>
      </c>
      <c r="G68" s="144">
        <f t="shared" ca="1" si="8"/>
        <v>1</v>
      </c>
      <c r="H68" s="69"/>
      <c r="I68" s="67"/>
      <c r="J68" s="67"/>
      <c r="K68" s="67"/>
      <c r="L68" s="67"/>
      <c r="M68" s="67"/>
      <c r="N68" s="67"/>
      <c r="O68" s="67"/>
      <c r="P68" s="39"/>
      <c r="Q68" s="69"/>
      <c r="R68" s="39"/>
      <c r="S68" s="69"/>
      <c r="T68" s="39"/>
      <c r="U68" s="69"/>
      <c r="V68" s="39"/>
      <c r="W68" s="69"/>
      <c r="X68" s="39"/>
      <c r="Y68" s="69"/>
    </row>
    <row r="69" spans="1:26" ht="22" customHeight="1" x14ac:dyDescent="0.3">
      <c r="A69" s="153" t="s">
        <v>2276</v>
      </c>
      <c r="B69" s="154" t="str">
        <f>IF(M64="","",M64)</f>
        <v/>
      </c>
      <c r="C69" s="144">
        <f ca="1">VLOOKUP(A69,DB_TBL_DATA_FIELDS[[FIELD_ID]:[PCT_CALC_FIELD_STATUS_CODE]],22,FALSE)</f>
        <v>1</v>
      </c>
      <c r="D69" s="144" t="str">
        <f>IF(VLOOKUP(A69,DB_TBL_DATA_FIELDS[[FIELD_ID]:[ERROR_MESSAGE]],23,FALSE)&lt;&gt;0,VLOOKUP(A69,DB_TBL_DATA_FIELDS[[FIELD_ID]:[ERROR_MESSAGE]],23,FALSE),"")</f>
        <v/>
      </c>
      <c r="E69" s="144">
        <f>VLOOKUP(A69,DB_TBL_DATA_FIELDS[[#All],[FIELD_ID]:[RANGE_VALIDATION_MAX]],18,FALSE)</f>
        <v>0</v>
      </c>
      <c r="F69" s="144">
        <f>VLOOKUP(A69,DB_TBL_DATA_FIELDS[[#All],[FIELD_ID]:[RANGE_VALIDATION_MAX]],19,FALSE)</f>
        <v>2</v>
      </c>
      <c r="G69" s="144">
        <f t="shared" ca="1" si="8"/>
        <v>1</v>
      </c>
      <c r="H69" s="69"/>
      <c r="I69" s="69"/>
      <c r="J69" s="39"/>
      <c r="K69" s="69"/>
      <c r="L69" s="39"/>
      <c r="M69" s="69"/>
      <c r="N69" s="39"/>
      <c r="O69" s="69"/>
      <c r="P69" s="39"/>
      <c r="Q69" s="69"/>
      <c r="R69" s="39"/>
      <c r="S69" s="69"/>
      <c r="T69" s="39"/>
      <c r="U69" s="69"/>
      <c r="V69" s="39"/>
      <c r="W69" s="69"/>
      <c r="X69" s="39"/>
      <c r="Y69" s="69"/>
    </row>
    <row r="70" spans="1:26" ht="22" customHeight="1" thickBot="1" x14ac:dyDescent="0.35">
      <c r="A70" s="153" t="s">
        <v>2277</v>
      </c>
      <c r="B70" s="154" t="str">
        <f>IF(S64="","",S64)</f>
        <v/>
      </c>
      <c r="C70" s="144">
        <f ca="1">VLOOKUP(A70,DB_TBL_DATA_FIELDS[[FIELD_ID]:[PCT_CALC_FIELD_STATUS_CODE]],22,FALSE)</f>
        <v>1</v>
      </c>
      <c r="D70" s="144" t="str">
        <f>IF(VLOOKUP(A70,DB_TBL_DATA_FIELDS[[FIELD_ID]:[ERROR_MESSAGE]],23,FALSE)&lt;&gt;0,VLOOKUP(A70,DB_TBL_DATA_FIELDS[[FIELD_ID]:[ERROR_MESSAGE]],23,FALSE),"")</f>
        <v/>
      </c>
      <c r="E70" s="144">
        <f>VLOOKUP(A70,DB_TBL_DATA_FIELDS[[#All],[FIELD_ID]:[RANGE_VALIDATION_MAX]],18,FALSE)</f>
        <v>0</v>
      </c>
      <c r="F70" s="144">
        <f>VLOOKUP(A70,DB_TBL_DATA_FIELDS[[#All],[FIELD_ID]:[RANGE_VALIDATION_MAX]],19,FALSE)</f>
        <v>40</v>
      </c>
      <c r="G70" s="144">
        <f t="shared" ca="1" si="8"/>
        <v>1</v>
      </c>
      <c r="H70" s="69"/>
      <c r="I70" s="113" t="s">
        <v>2397</v>
      </c>
      <c r="J70" s="114"/>
      <c r="K70" s="114"/>
      <c r="L70" s="114"/>
      <c r="M70" s="114"/>
      <c r="N70" s="114"/>
      <c r="O70" s="114"/>
      <c r="P70" s="115"/>
      <c r="Q70" s="95"/>
      <c r="R70" s="115"/>
      <c r="S70" s="95"/>
      <c r="T70" s="115"/>
      <c r="U70" s="95"/>
      <c r="V70" s="115"/>
      <c r="W70" s="95"/>
      <c r="X70" s="39"/>
      <c r="Y70" s="69"/>
    </row>
    <row r="71" spans="1:26" ht="22" customHeight="1" x14ac:dyDescent="0.3">
      <c r="A71" s="156" t="s">
        <v>152</v>
      </c>
      <c r="B71" s="145" t="str">
        <f>"C"&amp;MATCH(LEFT(A71,LEN(A71)-LEN("_RANGE")),A:A,0)+1&amp;":C"&amp;(ROW()-1)</f>
        <v>C63:C70</v>
      </c>
      <c r="C71" s="144"/>
      <c r="D71" s="144"/>
      <c r="E71" s="144"/>
      <c r="F71" s="144"/>
      <c r="G71" s="144"/>
      <c r="H71" s="69"/>
      <c r="I71" s="69"/>
      <c r="J71" s="39"/>
      <c r="K71" s="69"/>
      <c r="L71" s="39"/>
      <c r="M71" s="69"/>
      <c r="N71" s="39"/>
      <c r="O71" s="69"/>
      <c r="P71" s="39"/>
      <c r="Q71" s="69"/>
      <c r="R71" s="39"/>
      <c r="S71" s="69"/>
      <c r="T71" s="39"/>
      <c r="U71" s="69"/>
      <c r="V71" s="39"/>
      <c r="W71" s="69"/>
      <c r="X71" s="39"/>
      <c r="Y71" s="69"/>
    </row>
    <row r="72" spans="1:26" ht="22" customHeight="1" x14ac:dyDescent="0.3">
      <c r="A72" s="156" t="s">
        <v>153</v>
      </c>
      <c r="B72" s="145">
        <f ca="1">COUNTIF(INDIRECT($B71),2)</f>
        <v>0</v>
      </c>
      <c r="C72" s="144"/>
      <c r="D72" s="144"/>
      <c r="E72" s="144"/>
      <c r="F72" s="144"/>
      <c r="G72" s="144"/>
      <c r="H72" s="69"/>
      <c r="I72" s="78" t="s">
        <v>2310</v>
      </c>
      <c r="J72" s="44"/>
      <c r="K72" s="44"/>
      <c r="L72" s="44"/>
      <c r="M72" s="44"/>
      <c r="N72" s="44"/>
      <c r="O72" s="44"/>
      <c r="P72" s="44"/>
      <c r="Q72" s="44"/>
      <c r="R72" s="44"/>
      <c r="S72" s="44"/>
      <c r="T72" s="44"/>
      <c r="U72" s="44"/>
      <c r="V72" s="39"/>
      <c r="W72" s="90"/>
      <c r="X72" s="112">
        <f ca="1">G82</f>
        <v>1</v>
      </c>
      <c r="Y72" s="69"/>
    </row>
    <row r="73" spans="1:26" ht="22" customHeight="1" x14ac:dyDescent="0.3">
      <c r="A73" s="156" t="s">
        <v>154</v>
      </c>
      <c r="B73" s="145">
        <f ca="1">COUNTIF(INDIRECT($B71),0)+COUNTIF(INDIRECT($B71),1)+COUNTIF(INDIRECT($B71),2)</f>
        <v>5</v>
      </c>
      <c r="C73" s="144"/>
      <c r="D73" s="144"/>
      <c r="E73" s="144"/>
      <c r="F73" s="144"/>
      <c r="G73" s="144"/>
      <c r="H73" s="69"/>
      <c r="I73" s="78" t="s">
        <v>2401</v>
      </c>
      <c r="J73" s="44"/>
      <c r="K73" s="44"/>
      <c r="L73" s="44"/>
      <c r="M73" s="44"/>
      <c r="N73" s="44"/>
      <c r="O73" s="44"/>
      <c r="P73" s="44"/>
      <c r="Q73" s="44"/>
      <c r="R73" s="44"/>
      <c r="S73" s="44"/>
      <c r="T73" s="44"/>
      <c r="U73" s="44"/>
      <c r="V73" s="39"/>
      <c r="W73" s="90"/>
      <c r="X73" s="112">
        <f ca="1">G89</f>
        <v>1</v>
      </c>
      <c r="Y73" s="69"/>
    </row>
    <row r="74" spans="1:26" ht="21.75" customHeight="1" x14ac:dyDescent="0.3">
      <c r="A74" s="156" t="s">
        <v>155</v>
      </c>
      <c r="B74" s="145">
        <f ca="1">COUNTIF(INDIRECT($B71),0)</f>
        <v>0</v>
      </c>
      <c r="C74" s="144" t="s">
        <v>2179</v>
      </c>
      <c r="D74" s="144"/>
      <c r="E74" s="144"/>
      <c r="F74" s="144"/>
      <c r="G74" s="144"/>
      <c r="H74" s="69"/>
      <c r="I74" s="78" t="s">
        <v>2516</v>
      </c>
      <c r="J74" s="44"/>
      <c r="K74" s="44"/>
      <c r="L74" s="44"/>
      <c r="M74" s="44"/>
      <c r="N74" s="44"/>
      <c r="O74" s="44"/>
      <c r="P74" s="44"/>
      <c r="Q74" s="44"/>
      <c r="R74" s="44"/>
      <c r="S74" s="44"/>
      <c r="T74" s="44"/>
      <c r="U74" s="44"/>
      <c r="V74" s="39"/>
      <c r="W74" s="90"/>
      <c r="X74" s="112">
        <f ca="1">G96</f>
        <v>1</v>
      </c>
      <c r="Y74" s="69"/>
      <c r="Z74" s="176" t="str">
        <f ca="1">D96</f>
        <v/>
      </c>
    </row>
    <row r="75" spans="1:26" ht="31.5" customHeight="1" x14ac:dyDescent="0.3">
      <c r="A75" s="156" t="s">
        <v>156</v>
      </c>
      <c r="B75" s="157">
        <f ca="1">IFERROR(B72/B73,1.01)</f>
        <v>0</v>
      </c>
      <c r="C75" s="144"/>
      <c r="D75" s="144"/>
      <c r="E75" s="144"/>
      <c r="F75" s="144"/>
      <c r="G75" s="144"/>
      <c r="H75" s="69"/>
      <c r="I75" s="78" t="s">
        <v>2311</v>
      </c>
      <c r="J75" s="78"/>
      <c r="K75" s="78"/>
      <c r="L75" s="78"/>
      <c r="M75" s="78"/>
      <c r="N75" s="78"/>
      <c r="O75" s="78"/>
      <c r="P75" s="78"/>
      <c r="Q75" s="78" t="s">
        <v>2398</v>
      </c>
      <c r="R75" s="39"/>
      <c r="S75" s="69"/>
      <c r="T75" s="39"/>
      <c r="U75" s="78" t="s">
        <v>2399</v>
      </c>
      <c r="V75" s="39"/>
      <c r="W75" s="117" t="s">
        <v>2400</v>
      </c>
      <c r="X75" s="39"/>
      <c r="Y75" s="69"/>
    </row>
    <row r="76" spans="1:26" ht="22" customHeight="1" x14ac:dyDescent="0.3">
      <c r="A76" s="156" t="s">
        <v>157</v>
      </c>
      <c r="B76" s="158" t="str">
        <f ca="1">IF(B74&gt;0,"Data Error(s)",IF(B75=0,"Not Started",IF(B75&lt;1,ROUNDUP(B75*100,0)&amp;"% Done",IF(B75&gt;1,"Optional","Complete"))))</f>
        <v>Not Started</v>
      </c>
      <c r="C76" s="144"/>
      <c r="D76" s="144"/>
      <c r="E76" s="144"/>
      <c r="F76" s="144"/>
      <c r="G76" s="144"/>
      <c r="H76" s="69"/>
      <c r="I76" s="178"/>
      <c r="J76" s="179"/>
      <c r="K76" s="179"/>
      <c r="L76" s="179"/>
      <c r="M76" s="179"/>
      <c r="N76" s="179"/>
      <c r="O76" s="197"/>
      <c r="P76" s="112">
        <f ca="1">G83</f>
        <v>1</v>
      </c>
      <c r="Q76" s="182"/>
      <c r="R76" s="183"/>
      <c r="S76" s="184"/>
      <c r="T76" s="56">
        <f ca="1">G84</f>
        <v>1</v>
      </c>
      <c r="U76" s="116"/>
      <c r="V76" s="56">
        <f ca="1">G85</f>
        <v>1</v>
      </c>
      <c r="W76" s="116"/>
      <c r="X76" s="56">
        <f ca="1">G86</f>
        <v>1</v>
      </c>
      <c r="Y76" s="69"/>
    </row>
    <row r="77" spans="1:26" ht="22" customHeight="1" x14ac:dyDescent="0.3">
      <c r="A77" s="156" t="s">
        <v>158</v>
      </c>
      <c r="B77" s="145" t="str">
        <f ca="1">IF(B74&gt;0,0,IF(B75&lt;1,"",2))</f>
        <v/>
      </c>
      <c r="C77" s="144"/>
      <c r="D77" s="144"/>
      <c r="E77" s="144"/>
      <c r="F77" s="144"/>
      <c r="G77" s="144"/>
      <c r="H77" s="69"/>
      <c r="I77" s="44"/>
      <c r="J77" s="44"/>
      <c r="K77" s="44"/>
      <c r="L77" s="44"/>
      <c r="M77" s="44"/>
      <c r="N77" s="44"/>
      <c r="O77" s="44"/>
      <c r="P77" s="44"/>
      <c r="Q77" s="44"/>
      <c r="R77" s="44"/>
      <c r="S77" s="44"/>
      <c r="T77" s="44"/>
      <c r="U77" s="44"/>
      <c r="V77" s="44"/>
      <c r="W77" s="44"/>
      <c r="X77" s="44"/>
      <c r="Y77" s="69"/>
    </row>
    <row r="78" spans="1:26" ht="22" customHeight="1" x14ac:dyDescent="0.3">
      <c r="A78" s="156" t="s">
        <v>159</v>
      </c>
      <c r="B78" s="159" t="s">
        <v>2445</v>
      </c>
      <c r="C78" s="144"/>
      <c r="D78" s="144"/>
      <c r="E78" s="144"/>
      <c r="F78" s="144"/>
      <c r="G78" s="144"/>
      <c r="H78" s="69"/>
      <c r="I78" s="78" t="s">
        <v>2402</v>
      </c>
      <c r="J78" s="39"/>
      <c r="K78" s="69"/>
      <c r="L78" s="39"/>
      <c r="M78" s="78" t="s">
        <v>2322</v>
      </c>
      <c r="Q78" s="78" t="s">
        <v>2320</v>
      </c>
      <c r="R78" s="39"/>
      <c r="S78" s="69"/>
      <c r="T78" s="39"/>
      <c r="U78" s="139" t="s">
        <v>2321</v>
      </c>
      <c r="V78" s="39"/>
      <c r="W78" s="69"/>
      <c r="X78" s="39"/>
      <c r="Y78" s="69"/>
    </row>
    <row r="79" spans="1:26" ht="22" customHeight="1" x14ac:dyDescent="0.3">
      <c r="A79" s="160" t="s">
        <v>2167</v>
      </c>
      <c r="B79" s="145">
        <v>0</v>
      </c>
      <c r="C79" s="144" t="s">
        <v>2177</v>
      </c>
      <c r="D79" s="144"/>
      <c r="E79" s="144"/>
      <c r="F79" s="144"/>
      <c r="G79" s="144"/>
      <c r="H79" s="69"/>
      <c r="I79" s="191"/>
      <c r="J79" s="192"/>
      <c r="K79" s="193"/>
      <c r="L79" s="56">
        <f ca="1">G90</f>
        <v>1</v>
      </c>
      <c r="M79" s="182"/>
      <c r="N79" s="183"/>
      <c r="O79" s="184"/>
      <c r="P79" s="56">
        <f ca="1">G95</f>
        <v>1</v>
      </c>
      <c r="Q79" s="194"/>
      <c r="R79" s="195"/>
      <c r="S79" s="196"/>
      <c r="T79" s="56">
        <f ca="1">G93</f>
        <v>1</v>
      </c>
      <c r="U79" s="140"/>
      <c r="V79" s="140"/>
      <c r="W79" s="140"/>
      <c r="X79" s="56" t="str">
        <f ca="1">G94</f>
        <v/>
      </c>
      <c r="Y79" s="69"/>
    </row>
    <row r="80" spans="1:26" ht="22" customHeight="1" x14ac:dyDescent="0.3">
      <c r="A80" s="160" t="s">
        <v>2168</v>
      </c>
      <c r="B80" s="145" t="b">
        <f>(B79&gt;0)</f>
        <v>0</v>
      </c>
      <c r="C80" s="144"/>
      <c r="D80" s="144"/>
      <c r="E80" s="144"/>
      <c r="F80" s="144"/>
      <c r="G80" s="144"/>
      <c r="H80" s="69"/>
      <c r="J80" s="39"/>
      <c r="K80" s="69"/>
      <c r="L80" s="39"/>
      <c r="Q80" s="189" t="str">
        <f>D93</f>
        <v/>
      </c>
      <c r="R80" s="189"/>
      <c r="S80" s="189"/>
      <c r="U80" s="69"/>
      <c r="V80" s="39"/>
      <c r="W80" s="69"/>
      <c r="X80" s="39"/>
      <c r="Y80" s="69"/>
    </row>
    <row r="81" spans="1:25" ht="22" customHeight="1" x14ac:dyDescent="0.3">
      <c r="A81" s="148" t="s">
        <v>162</v>
      </c>
      <c r="B81" s="149" t="s">
        <v>2375</v>
      </c>
      <c r="C81" s="150"/>
      <c r="D81" s="151"/>
      <c r="E81" s="151"/>
      <c r="F81" s="151"/>
      <c r="G81" s="152" t="str">
        <f>B115</f>
        <v>Mortgage Information</v>
      </c>
      <c r="H81" s="69"/>
      <c r="J81" s="39"/>
      <c r="K81" s="69"/>
      <c r="L81" s="39"/>
      <c r="M81" s="69"/>
      <c r="N81" s="39"/>
      <c r="O81" s="69"/>
      <c r="P81" s="39"/>
      <c r="Q81" s="190"/>
      <c r="R81" s="190"/>
      <c r="S81" s="190"/>
      <c r="T81" s="39"/>
      <c r="U81" s="69"/>
      <c r="V81" s="39"/>
      <c r="W81" s="69"/>
      <c r="X81" s="39"/>
      <c r="Y81" s="69"/>
    </row>
    <row r="82" spans="1:25" ht="22" customHeight="1" x14ac:dyDescent="0.3">
      <c r="A82" s="153" t="s">
        <v>2266</v>
      </c>
      <c r="B82" s="154" t="str">
        <f>IF(W72="","",IF(UPPER(W72)="YES",TRUE,FALSE))</f>
        <v/>
      </c>
      <c r="C82" s="144">
        <f ca="1">VLOOKUP(A82,DB_TBL_DATA_FIELDS[[FIELD_ID]:[PCT_CALC_FIELD_STATUS_CODE]],22,FALSE)</f>
        <v>1</v>
      </c>
      <c r="D82" s="144" t="str">
        <f>IF(VLOOKUP(A82,DB_TBL_DATA_FIELDS[[FIELD_ID]:[ERROR_MESSAGE]],23,FALSE)&lt;&gt;0,VLOOKUP(A82,DB_TBL_DATA_FIELDS[[FIELD_ID]:[ERROR_MESSAGE]],23,FALSE),"")</f>
        <v/>
      </c>
      <c r="E82" s="144">
        <f>VLOOKUP(A82,DB_TBL_DATA_FIELDS[[#All],[FIELD_ID]:[RANGE_VALIDATION_MAX]],18,FALSE)</f>
        <v>0</v>
      </c>
      <c r="F82" s="144">
        <f>VLOOKUP(A82,DB_TBL_DATA_FIELDS[[#All],[FIELD_ID]:[RANGE_VALIDATION_MAX]],19,FALSE)</f>
        <v>1</v>
      </c>
      <c r="G82" s="144">
        <f t="shared" ref="G82" ca="1" si="9">IF(C82&lt;0,"",C82)</f>
        <v>1</v>
      </c>
      <c r="H82" s="69"/>
      <c r="I82" s="78" t="s">
        <v>2444</v>
      </c>
      <c r="W82" s="118"/>
      <c r="X82" s="56">
        <f ca="1">G97</f>
        <v>1</v>
      </c>
      <c r="Y82" s="69"/>
    </row>
    <row r="83" spans="1:25" ht="22" customHeight="1" x14ac:dyDescent="0.3">
      <c r="A83" s="153" t="s">
        <v>2284</v>
      </c>
      <c r="B83" s="154" t="str">
        <f>IF(I76="","",I76)</f>
        <v/>
      </c>
      <c r="C83" s="144">
        <f ca="1">VLOOKUP(A83,DB_TBL_DATA_FIELDS[[FIELD_ID]:[PCT_CALC_FIELD_STATUS_CODE]],22,FALSE)</f>
        <v>1</v>
      </c>
      <c r="D83" s="144" t="str">
        <f>IF(VLOOKUP(A83,DB_TBL_DATA_FIELDS[[FIELD_ID]:[ERROR_MESSAGE]],23,FALSE)&lt;&gt;0,VLOOKUP(A83,DB_TBL_DATA_FIELDS[[FIELD_ID]:[ERROR_MESSAGE]],23,FALSE),"")</f>
        <v/>
      </c>
      <c r="E83" s="144">
        <f>VLOOKUP(A83,DB_TBL_DATA_FIELDS[[#All],[FIELD_ID]:[RANGE_VALIDATION_MAX]],18,FALSE)</f>
        <v>0</v>
      </c>
      <c r="F83" s="144">
        <f>VLOOKUP(A83,DB_TBL_DATA_FIELDS[[#All],[FIELD_ID]:[RANGE_VALIDATION_MAX]],19,FALSE)</f>
        <v>100</v>
      </c>
      <c r="G83" s="144">
        <f t="shared" ref="G83:G107" ca="1" si="10">IF(C83&lt;0,"",C83)</f>
        <v>1</v>
      </c>
      <c r="H83" s="69"/>
      <c r="I83" s="78"/>
      <c r="J83" s="78"/>
      <c r="K83" s="78"/>
      <c r="L83" s="78"/>
      <c r="M83" s="78"/>
      <c r="N83" s="78"/>
      <c r="O83" s="78"/>
      <c r="P83" s="78"/>
      <c r="Q83" s="78"/>
      <c r="R83" s="78"/>
      <c r="S83" s="78"/>
      <c r="Y83" s="69"/>
    </row>
    <row r="84" spans="1:25" ht="22" customHeight="1" x14ac:dyDescent="0.3">
      <c r="A84" s="153" t="s">
        <v>2285</v>
      </c>
      <c r="B84" s="154" t="str">
        <f>IF(Q76="","",Q76)</f>
        <v/>
      </c>
      <c r="C84" s="144">
        <f ca="1">VLOOKUP(A84,DB_TBL_DATA_FIELDS[[FIELD_ID]:[PCT_CALC_FIELD_STATUS_CODE]],22,FALSE)</f>
        <v>1</v>
      </c>
      <c r="D84" s="144" t="str">
        <f>IF(VLOOKUP(A84,DB_TBL_DATA_FIELDS[[FIELD_ID]:[ERROR_MESSAGE]],23,FALSE)&lt;&gt;0,VLOOKUP(A84,DB_TBL_DATA_FIELDS[[FIELD_ID]:[ERROR_MESSAGE]],23,FALSE),"")</f>
        <v/>
      </c>
      <c r="E84" s="144">
        <f>VLOOKUP(A84,DB_TBL_DATA_FIELDS[[#All],[FIELD_ID]:[RANGE_VALIDATION_MAX]],18,FALSE)</f>
        <v>1</v>
      </c>
      <c r="F84" s="144">
        <f>VLOOKUP(A84,DB_TBL_DATA_FIELDS[[#All],[FIELD_ID]:[RANGE_VALIDATION_MAX]],19,FALSE)</f>
        <v>999999999999</v>
      </c>
      <c r="G84" s="144">
        <f t="shared" ca="1" si="10"/>
        <v>1</v>
      </c>
      <c r="H84" s="69"/>
      <c r="I84" s="64" t="s">
        <v>2512</v>
      </c>
      <c r="X84" s="39"/>
      <c r="Y84" s="69"/>
    </row>
    <row r="85" spans="1:25" ht="22" customHeight="1" x14ac:dyDescent="0.3">
      <c r="A85" s="153" t="s">
        <v>2286</v>
      </c>
      <c r="B85" s="154" t="str">
        <f>IF(U76="","",U76)</f>
        <v/>
      </c>
      <c r="C85" s="144">
        <f ca="1">VLOOKUP(A85,DB_TBL_DATA_FIELDS[[FIELD_ID]:[PCT_CALC_FIELD_STATUS_CODE]],22,FALSE)</f>
        <v>1</v>
      </c>
      <c r="D85" s="144" t="str">
        <f>IF(VLOOKUP(A85,DB_TBL_DATA_FIELDS[[FIELD_ID]:[ERROR_MESSAGE]],23,FALSE)&lt;&gt;0,VLOOKUP(A85,DB_TBL_DATA_FIELDS[[FIELD_ID]:[ERROR_MESSAGE]],23,FALSE),"")</f>
        <v/>
      </c>
      <c r="E85" s="144">
        <f>VLOOKUP(A85,DB_TBL_DATA_FIELDS[[#All],[FIELD_ID]:[RANGE_VALIDATION_MAX]],18,FALSE)</f>
        <v>0</v>
      </c>
      <c r="F85" s="144">
        <f>VLOOKUP(A85,DB_TBL_DATA_FIELDS[[#All],[FIELD_ID]:[RANGE_VALIDATION_MAX]],19,FALSE)</f>
        <v>10</v>
      </c>
      <c r="G85" s="144">
        <f t="shared" ca="1" si="10"/>
        <v>1</v>
      </c>
      <c r="H85" s="69"/>
      <c r="I85" s="188" t="s">
        <v>2447</v>
      </c>
      <c r="J85" s="188"/>
      <c r="K85" s="188"/>
      <c r="L85" s="188"/>
      <c r="M85" s="188"/>
      <c r="N85" s="188"/>
      <c r="O85" s="188"/>
      <c r="P85" s="188"/>
      <c r="Q85" s="188"/>
      <c r="R85" s="188"/>
      <c r="S85" s="188"/>
      <c r="T85" s="188"/>
      <c r="U85" s="188"/>
      <c r="V85" s="188"/>
      <c r="W85" s="188"/>
      <c r="X85" s="39"/>
      <c r="Y85" s="69"/>
    </row>
    <row r="86" spans="1:25" ht="22" customHeight="1" x14ac:dyDescent="0.3">
      <c r="A86" s="153" t="s">
        <v>2287</v>
      </c>
      <c r="B86" s="154" t="str">
        <f>IF(W76="","",W76)</f>
        <v/>
      </c>
      <c r="C86" s="144">
        <f ca="1">VLOOKUP(A86,DB_TBL_DATA_FIELDS[[FIELD_ID]:[PCT_CALC_FIELD_STATUS_CODE]],22,FALSE)</f>
        <v>1</v>
      </c>
      <c r="D86" s="144" t="str">
        <f>IF(VLOOKUP(A86,DB_TBL_DATA_FIELDS[[FIELD_ID]:[ERROR_MESSAGE]],23,FALSE)&lt;&gt;0,VLOOKUP(A86,DB_TBL_DATA_FIELDS[[FIELD_ID]:[ERROR_MESSAGE]],23,FALSE),"")</f>
        <v/>
      </c>
      <c r="E86" s="144">
        <f>VLOOKUP(A86,DB_TBL_DATA_FIELDS[[#All],[FIELD_ID]:[RANGE_VALIDATION_MAX]],18,FALSE)</f>
        <v>0</v>
      </c>
      <c r="F86" s="144">
        <f>VLOOKUP(A86,DB_TBL_DATA_FIELDS[[#All],[FIELD_ID]:[RANGE_VALIDATION_MAX]],19,FALSE)</f>
        <v>10</v>
      </c>
      <c r="G86" s="144">
        <f t="shared" ca="1" si="10"/>
        <v>1</v>
      </c>
      <c r="H86" s="69"/>
      <c r="I86" s="188"/>
      <c r="J86" s="188"/>
      <c r="K86" s="188"/>
      <c r="L86" s="188"/>
      <c r="M86" s="188"/>
      <c r="N86" s="188"/>
      <c r="O86" s="188"/>
      <c r="P86" s="188"/>
      <c r="Q86" s="188"/>
      <c r="R86" s="188"/>
      <c r="S86" s="188"/>
      <c r="T86" s="188"/>
      <c r="U86" s="188"/>
      <c r="V86" s="188"/>
      <c r="W86" s="188"/>
      <c r="X86" s="39"/>
      <c r="Y86" s="69"/>
    </row>
    <row r="87" spans="1:25" ht="22" customHeight="1" x14ac:dyDescent="0.3">
      <c r="A87" s="161" t="s">
        <v>2431</v>
      </c>
      <c r="B87" s="162" t="str">
        <f>""</f>
        <v/>
      </c>
      <c r="C87" s="162" t="str">
        <f>VLOOKUP(A87,DB_TBL_DATA_FIELDS[[FIELD_ID]:[PCT_CALC_FIELD_STATUS_CODE]],22,FALSE)</f>
        <v/>
      </c>
      <c r="D87" s="162" t="str">
        <f>IF(VLOOKUP(A87,DB_TBL_DATA_FIELDS[[FIELD_ID]:[ERROR_MESSAGE]],23,FALSE)&lt;&gt;0,VLOOKUP(A87,DB_TBL_DATA_FIELDS[[FIELD_ID]:[ERROR_MESSAGE]],23,FALSE),"")</f>
        <v/>
      </c>
      <c r="E87" s="162">
        <f>VLOOKUP(A87,DB_TBL_DATA_FIELDS[[#All],[FIELD_ID]:[RANGE_VALIDATION_MAX]],18,FALSE)</f>
        <v>0</v>
      </c>
      <c r="F87" s="162">
        <f>VLOOKUP(A87,DB_TBL_DATA_FIELDS[[#All],[FIELD_ID]:[RANGE_VALIDATION_MAX]],19,FALSE)</f>
        <v>50</v>
      </c>
      <c r="G87" s="162" t="str">
        <f t="shared" ref="G87:G88" si="11">IF(C87&lt;0,"",C87)</f>
        <v/>
      </c>
      <c r="H87" s="69"/>
      <c r="P87" s="39"/>
      <c r="S87" s="40"/>
      <c r="T87" s="39"/>
      <c r="W87" s="69"/>
      <c r="X87" s="39"/>
      <c r="Y87" s="69"/>
    </row>
    <row r="88" spans="1:25" ht="22" customHeight="1" thickBot="1" x14ac:dyDescent="0.35">
      <c r="A88" s="161" t="s">
        <v>2433</v>
      </c>
      <c r="B88" s="162" t="str">
        <f>""</f>
        <v/>
      </c>
      <c r="C88" s="162" t="str">
        <f>VLOOKUP(A88,DB_TBL_DATA_FIELDS[[FIELD_ID]:[PCT_CALC_FIELD_STATUS_CODE]],22,FALSE)</f>
        <v/>
      </c>
      <c r="D88" s="162" t="str">
        <f>IF(VLOOKUP(A88,DB_TBL_DATA_FIELDS[[FIELD_ID]:[ERROR_MESSAGE]],23,FALSE)&lt;&gt;0,VLOOKUP(A88,DB_TBL_DATA_FIELDS[[FIELD_ID]:[ERROR_MESSAGE]],23,FALSE),"")</f>
        <v/>
      </c>
      <c r="E88" s="162">
        <f>VLOOKUP(A88,DB_TBL_DATA_FIELDS[[#All],[FIELD_ID]:[RANGE_VALIDATION_MAX]],18,FALSE)</f>
        <v>0</v>
      </c>
      <c r="F88" s="162">
        <f>VLOOKUP(A88,DB_TBL_DATA_FIELDS[[#All],[FIELD_ID]:[RANGE_VALIDATION_MAX]],19,FALSE)</f>
        <v>400</v>
      </c>
      <c r="G88" s="162" t="str">
        <f t="shared" si="11"/>
        <v/>
      </c>
      <c r="H88" s="69"/>
      <c r="I88" s="41" t="str">
        <f>B118</f>
        <v>Other Grants or Mortgage Assistance</v>
      </c>
      <c r="J88" s="86"/>
      <c r="K88" s="86"/>
      <c r="L88" s="86"/>
      <c r="M88" s="86"/>
      <c r="N88" s="86"/>
      <c r="O88" s="86"/>
      <c r="P88" s="86"/>
      <c r="Q88" s="86"/>
      <c r="R88" s="86"/>
      <c r="S88" s="86"/>
      <c r="T88" s="86"/>
      <c r="U88" s="86"/>
      <c r="V88" s="86"/>
      <c r="W88" s="86"/>
      <c r="X88" s="58" t="str">
        <f ca="1">"Status: "&amp;$B$135</f>
        <v>Status: Not Started</v>
      </c>
      <c r="Y88" s="69"/>
    </row>
    <row r="89" spans="1:25" ht="22" customHeight="1" x14ac:dyDescent="0.3">
      <c r="A89" s="153" t="s">
        <v>2289</v>
      </c>
      <c r="B89" s="154" t="str">
        <f>IF(W73="","",W73)</f>
        <v/>
      </c>
      <c r="C89" s="144">
        <f ca="1">VLOOKUP(A89,DB_TBL_DATA_FIELDS[[FIELD_ID]:[PCT_CALC_FIELD_STATUS_CODE]],22,FALSE)</f>
        <v>1</v>
      </c>
      <c r="D89" s="144" t="str">
        <f>IF(VLOOKUP(A89,DB_TBL_DATA_FIELDS[[FIELD_ID]:[ERROR_MESSAGE]],23,FALSE)&lt;&gt;0,VLOOKUP(A89,DB_TBL_DATA_FIELDS[[FIELD_ID]:[ERROR_MESSAGE]],23,FALSE),"")</f>
        <v/>
      </c>
      <c r="E89" s="144">
        <f>VLOOKUP(A89,DB_TBL_DATA_FIELDS[[#All],[FIELD_ID]:[RANGE_VALIDATION_MAX]],18,FALSE)</f>
        <v>0</v>
      </c>
      <c r="F89" s="144">
        <f>VLOOKUP(A89,DB_TBL_DATA_FIELDS[[#All],[FIELD_ID]:[RANGE_VALIDATION_MAX]],19,FALSE)</f>
        <v>50</v>
      </c>
      <c r="G89" s="144">
        <f t="shared" ca="1" si="10"/>
        <v>1</v>
      </c>
      <c r="H89" s="69"/>
      <c r="I89" s="68"/>
      <c r="J89" s="68"/>
      <c r="K89" s="68"/>
      <c r="L89" s="68"/>
      <c r="M89" s="68"/>
      <c r="N89" s="68"/>
      <c r="O89" s="68"/>
      <c r="P89" s="39"/>
      <c r="Q89" s="69"/>
      <c r="R89" s="39"/>
      <c r="S89" s="69"/>
      <c r="T89" s="39"/>
      <c r="U89" s="69"/>
      <c r="V89" s="39"/>
      <c r="W89" s="69"/>
      <c r="X89" s="39"/>
      <c r="Y89" s="69"/>
    </row>
    <row r="90" spans="1:25" ht="22" customHeight="1" x14ac:dyDescent="0.3">
      <c r="A90" s="153" t="s">
        <v>2290</v>
      </c>
      <c r="B90" s="154" t="str">
        <f>IF(I79="","",I79)</f>
        <v/>
      </c>
      <c r="C90" s="144">
        <f ca="1">VLOOKUP(A90,DB_TBL_DATA_FIELDS[[FIELD_ID]:[PCT_CALC_FIELD_STATUS_CODE]],22,FALSE)</f>
        <v>1</v>
      </c>
      <c r="D90" s="144" t="str">
        <f>IF(VLOOKUP(A90,DB_TBL_DATA_FIELDS[[FIELD_ID]:[ERROR_MESSAGE]],23,FALSE)&lt;&gt;0,VLOOKUP(A90,DB_TBL_DATA_FIELDS[[FIELD_ID]:[ERROR_MESSAGE]],23,FALSE),"")</f>
        <v/>
      </c>
      <c r="E90" s="144">
        <f>VLOOKUP(A90,DB_TBL_DATA_FIELDS[[#All],[FIELD_ID]:[RANGE_VALIDATION_MAX]],18,FALSE)</f>
        <v>1</v>
      </c>
      <c r="F90" s="144">
        <f>VLOOKUP(A90,DB_TBL_DATA_FIELDS[[#All],[FIELD_ID]:[RANGE_VALIDATION_MAX]],19,FALSE)</f>
        <v>999</v>
      </c>
      <c r="G90" s="144">
        <f t="shared" ca="1" si="10"/>
        <v>1</v>
      </c>
      <c r="H90" s="69"/>
      <c r="I90" s="68"/>
      <c r="J90" s="68"/>
      <c r="K90" s="68"/>
      <c r="L90" s="68"/>
      <c r="M90" s="68"/>
      <c r="N90" s="68"/>
      <c r="O90" s="68"/>
      <c r="P90" s="39"/>
      <c r="Q90" s="69"/>
      <c r="R90" s="39"/>
      <c r="S90" s="69"/>
      <c r="T90" s="39"/>
      <c r="U90" s="69"/>
      <c r="V90" s="39"/>
      <c r="W90" s="69"/>
      <c r="X90" s="39"/>
      <c r="Y90" s="69"/>
    </row>
    <row r="91" spans="1:25" ht="22" customHeight="1" x14ac:dyDescent="0.3">
      <c r="A91" s="161" t="s">
        <v>2291</v>
      </c>
      <c r="B91" s="162" t="str">
        <f>""</f>
        <v/>
      </c>
      <c r="C91" s="162" t="str">
        <f>VLOOKUP(A91,DB_TBL_DATA_FIELDS[[FIELD_ID]:[PCT_CALC_FIELD_STATUS_CODE]],22,FALSE)</f>
        <v/>
      </c>
      <c r="D91" s="162" t="str">
        <f>IF(VLOOKUP(A91,DB_TBL_DATA_FIELDS[[FIELD_ID]:[ERROR_MESSAGE]],23,FALSE)&lt;&gt;0,VLOOKUP(A91,DB_TBL_DATA_FIELDS[[FIELD_ID]:[ERROR_MESSAGE]],23,FALSE),"")</f>
        <v/>
      </c>
      <c r="E91" s="162">
        <f>VLOOKUP(A91,DB_TBL_DATA_FIELDS[[#All],[FIELD_ID]:[RANGE_VALIDATION_MAX]],18,FALSE)</f>
        <v>0</v>
      </c>
      <c r="F91" s="162">
        <f>VLOOKUP(A91,DB_TBL_DATA_FIELDS[[#All],[FIELD_ID]:[RANGE_VALIDATION_MAX]],19,FALSE)</f>
        <v>1</v>
      </c>
      <c r="G91" s="162" t="str">
        <f t="shared" si="10"/>
        <v/>
      </c>
      <c r="H91" s="69"/>
      <c r="I91" s="78" t="s">
        <v>2451</v>
      </c>
      <c r="J91" s="44"/>
      <c r="K91" s="44"/>
      <c r="L91" s="44"/>
      <c r="M91" s="44"/>
      <c r="N91" s="44"/>
      <c r="O91" s="44"/>
      <c r="P91" s="44"/>
      <c r="Q91" s="44"/>
      <c r="R91" s="44"/>
      <c r="S91" s="44"/>
      <c r="T91" s="44"/>
      <c r="U91" s="44"/>
      <c r="V91" s="39"/>
      <c r="W91" s="90"/>
      <c r="X91" s="112">
        <f ca="1">G119</f>
        <v>1</v>
      </c>
      <c r="Y91" s="69"/>
    </row>
    <row r="92" spans="1:25" ht="22" customHeight="1" x14ac:dyDescent="0.3">
      <c r="A92" s="161" t="s">
        <v>2292</v>
      </c>
      <c r="B92" s="162" t="str">
        <f>""</f>
        <v/>
      </c>
      <c r="C92" s="162" t="str">
        <f>VLOOKUP(A92,DB_TBL_DATA_FIELDS[[FIELD_ID]:[PCT_CALC_FIELD_STATUS_CODE]],22,FALSE)</f>
        <v/>
      </c>
      <c r="D92" s="162" t="str">
        <f>IF(VLOOKUP(A92,DB_TBL_DATA_FIELDS[[FIELD_ID]:[ERROR_MESSAGE]],23,FALSE)&lt;&gt;0,VLOOKUP(A92,DB_TBL_DATA_FIELDS[[FIELD_ID]:[ERROR_MESSAGE]],23,FALSE),"")</f>
        <v/>
      </c>
      <c r="E92" s="162">
        <f>VLOOKUP(A92,DB_TBL_DATA_FIELDS[[#All],[FIELD_ID]:[RANGE_VALIDATION_MAX]],18,FALSE)</f>
        <v>0</v>
      </c>
      <c r="F92" s="162">
        <f>VLOOKUP(A92,DB_TBL_DATA_FIELDS[[#All],[FIELD_ID]:[RANGE_VALIDATION_MAX]],19,FALSE)</f>
        <v>400</v>
      </c>
      <c r="G92" s="162" t="str">
        <f t="shared" si="10"/>
        <v/>
      </c>
      <c r="H92" s="69"/>
      <c r="I92" s="68"/>
      <c r="J92" s="68"/>
      <c r="K92" s="68"/>
      <c r="L92" s="68"/>
      <c r="M92" s="68"/>
      <c r="N92" s="68"/>
      <c r="O92" s="68"/>
      <c r="P92" s="39"/>
      <c r="Q92" s="69"/>
      <c r="R92" s="39"/>
      <c r="S92" s="69"/>
      <c r="T92" s="39"/>
      <c r="U92" s="69"/>
      <c r="V92" s="39"/>
      <c r="W92" s="69"/>
      <c r="X92" s="39"/>
      <c r="Y92" s="69"/>
    </row>
    <row r="93" spans="1:25" ht="22" customHeight="1" x14ac:dyDescent="0.3">
      <c r="A93" s="153" t="s">
        <v>2293</v>
      </c>
      <c r="B93" s="154" t="str">
        <f>IF(Q79="","",Q79)</f>
        <v/>
      </c>
      <c r="C93" s="144">
        <f ca="1">VLOOKUP(A93,DB_TBL_DATA_FIELDS[[FIELD_ID]:[PCT_CALC_FIELD_STATUS_CODE]],22,FALSE)</f>
        <v>1</v>
      </c>
      <c r="D93" s="144" t="str">
        <f>IF(VLOOKUP(A93,DB_TBL_DATA_FIELDS[[FIELD_ID]:[ERROR_MESSAGE]],23,FALSE)&lt;&gt;0,VLOOKUP(A93,DB_TBL_DATA_FIELDS[[FIELD_ID]:[ERROR_MESSAGE]],23,FALSE),"")</f>
        <v/>
      </c>
      <c r="E93" s="144">
        <f>VLOOKUP(A93,DB_TBL_DATA_FIELDS[[#All],[FIELD_ID]:[RANGE_VALIDATION_MAX]],18,FALSE)</f>
        <v>0</v>
      </c>
      <c r="F93" s="144">
        <f>VLOOKUP(A93,DB_TBL_DATA_FIELDS[[#All],[FIELD_ID]:[RANGE_VALIDATION_MAX]],19,FALSE)</f>
        <v>32767</v>
      </c>
      <c r="G93" s="144">
        <f t="shared" ca="1" si="10"/>
        <v>1</v>
      </c>
      <c r="H93" s="69"/>
      <c r="I93" s="180" t="s">
        <v>2403</v>
      </c>
      <c r="J93" s="180"/>
      <c r="K93" s="180"/>
      <c r="L93" s="180"/>
      <c r="M93" s="180"/>
      <c r="N93" s="180"/>
      <c r="O93" s="180"/>
      <c r="P93" s="180"/>
      <c r="Q93" s="180"/>
      <c r="R93" s="180"/>
      <c r="S93" s="181" t="s">
        <v>2404</v>
      </c>
      <c r="T93" s="181"/>
      <c r="U93" s="181"/>
      <c r="V93" s="181"/>
      <c r="W93" s="181"/>
      <c r="X93" s="78"/>
      <c r="Y93" s="69"/>
    </row>
    <row r="94" spans="1:25" ht="22" customHeight="1" x14ac:dyDescent="0.3">
      <c r="A94" s="153" t="s">
        <v>2294</v>
      </c>
      <c r="B94" s="154" t="str">
        <f>IF(U79="","",U79)</f>
        <v/>
      </c>
      <c r="C94" s="144">
        <f ca="1">VLOOKUP(A94,DB_TBL_DATA_FIELDS[[FIELD_ID]:[PCT_CALC_FIELD_STATUS_CODE]],22,FALSE)</f>
        <v>-1</v>
      </c>
      <c r="D94" s="144" t="str">
        <f>IF(VLOOKUP(A94,DB_TBL_DATA_FIELDS[[FIELD_ID]:[ERROR_MESSAGE]],23,FALSE)&lt;&gt;0,VLOOKUP(A94,DB_TBL_DATA_FIELDS[[FIELD_ID]:[ERROR_MESSAGE]],23,FALSE),"")</f>
        <v/>
      </c>
      <c r="E94" s="144">
        <f>VLOOKUP(A94,DB_TBL_DATA_FIELDS[[#All],[FIELD_ID]:[RANGE_VALIDATION_MAX]],18,FALSE)</f>
        <v>0</v>
      </c>
      <c r="F94" s="144">
        <f>VLOOKUP(A94,DB_TBL_DATA_FIELDS[[#All],[FIELD_ID]:[RANGE_VALIDATION_MAX]],19,FALSE)</f>
        <v>32767</v>
      </c>
      <c r="G94" s="144" t="str">
        <f t="shared" ca="1" si="10"/>
        <v/>
      </c>
      <c r="H94" s="69"/>
      <c r="I94" s="178"/>
      <c r="J94" s="179"/>
      <c r="K94" s="179"/>
      <c r="L94" s="179"/>
      <c r="M94" s="179"/>
      <c r="N94" s="179"/>
      <c r="O94" s="179"/>
      <c r="P94" s="179"/>
      <c r="Q94" s="179"/>
      <c r="R94" s="65" t="str">
        <f ca="1">G120</f>
        <v/>
      </c>
      <c r="S94" s="182"/>
      <c r="T94" s="183"/>
      <c r="U94" s="183"/>
      <c r="V94" s="183"/>
      <c r="W94" s="184"/>
      <c r="X94" s="56" t="str">
        <f ca="1">G125</f>
        <v/>
      </c>
      <c r="Y94" s="69"/>
    </row>
    <row r="95" spans="1:25" ht="22" customHeight="1" x14ac:dyDescent="0.3">
      <c r="A95" s="153" t="s">
        <v>2295</v>
      </c>
      <c r="B95" s="154" t="str">
        <f>IF(M79="","",M79)</f>
        <v/>
      </c>
      <c r="C95" s="144">
        <f ca="1">VLOOKUP(A95,DB_TBL_DATA_FIELDS[[FIELD_ID]:[PCT_CALC_FIELD_STATUS_CODE]],22,FALSE)</f>
        <v>1</v>
      </c>
      <c r="D95" s="144" t="str">
        <f>IF(VLOOKUP(A95,DB_TBL_DATA_FIELDS[[FIELD_ID]:[ERROR_MESSAGE]],23,FALSE)&lt;&gt;0,VLOOKUP(A95,DB_TBL_DATA_FIELDS[[FIELD_ID]:[ERROR_MESSAGE]],23,FALSE),"")</f>
        <v/>
      </c>
      <c r="E95" s="144">
        <f>VLOOKUP(A95,DB_TBL_DATA_FIELDS[[#All],[FIELD_ID]:[RANGE_VALIDATION_MAX]],18,FALSE)</f>
        <v>0</v>
      </c>
      <c r="F95" s="144">
        <f>VLOOKUP(A95,DB_TBL_DATA_FIELDS[[#All],[FIELD_ID]:[RANGE_VALIDATION_MAX]],19,FALSE)</f>
        <v>999999999999</v>
      </c>
      <c r="G95" s="144">
        <f t="shared" ca="1" si="10"/>
        <v>1</v>
      </c>
      <c r="H95" s="69"/>
      <c r="I95" s="178"/>
      <c r="J95" s="179"/>
      <c r="K95" s="179"/>
      <c r="L95" s="179"/>
      <c r="M95" s="179"/>
      <c r="N95" s="179"/>
      <c r="O95" s="179"/>
      <c r="P95" s="179"/>
      <c r="Q95" s="179"/>
      <c r="R95" s="65" t="str">
        <f ca="1">G121</f>
        <v/>
      </c>
      <c r="S95" s="185"/>
      <c r="T95" s="186"/>
      <c r="U95" s="186"/>
      <c r="V95" s="186"/>
      <c r="W95" s="187"/>
      <c r="X95" s="56" t="str">
        <f ca="1">G126</f>
        <v/>
      </c>
      <c r="Y95" s="69"/>
    </row>
    <row r="96" spans="1:25" ht="22" customHeight="1" x14ac:dyDescent="0.3">
      <c r="A96" s="161" t="s">
        <v>2296</v>
      </c>
      <c r="B96" s="154" t="str">
        <f>IF(W74="","",IF(UPPER(W74)="YES",TRUE,FALSE))</f>
        <v/>
      </c>
      <c r="C96" s="144">
        <f ca="1">VLOOKUP(A96,DB_TBL_DATA_FIELDS[[FIELD_ID]:[PCT_CALC_FIELD_STATUS_CODE]],22,FALSE)</f>
        <v>1</v>
      </c>
      <c r="D96" s="144" t="str">
        <f ca="1">IF(VLOOKUP(A96,DB_TBL_DATA_FIELDS[[FIELD_ID]:[ERROR_MESSAGE]],23,FALSE)&lt;&gt;0,VLOOKUP(A96,DB_TBL_DATA_FIELDS[[FIELD_ID]:[ERROR_MESSAGE]],23,FALSE),"")</f>
        <v/>
      </c>
      <c r="E96" s="144">
        <f>VLOOKUP(A96,DB_TBL_DATA_FIELDS[[#All],[FIELD_ID]:[RANGE_VALIDATION_MAX]],18,FALSE)</f>
        <v>0.8</v>
      </c>
      <c r="F96" s="144">
        <f>VLOOKUP(A96,DB_TBL_DATA_FIELDS[[#All],[FIELD_ID]:[RANGE_VALIDATION_MAX]],19,FALSE)</f>
        <v>1.4</v>
      </c>
      <c r="G96" s="144">
        <f t="shared" ca="1" si="10"/>
        <v>1</v>
      </c>
      <c r="H96" s="69"/>
      <c r="I96" s="178"/>
      <c r="J96" s="179"/>
      <c r="K96" s="179"/>
      <c r="L96" s="179"/>
      <c r="M96" s="179"/>
      <c r="N96" s="179"/>
      <c r="O96" s="179"/>
      <c r="P96" s="179"/>
      <c r="Q96" s="179"/>
      <c r="R96" s="65" t="str">
        <f ca="1">G122</f>
        <v/>
      </c>
      <c r="S96" s="182"/>
      <c r="T96" s="183"/>
      <c r="U96" s="183"/>
      <c r="V96" s="183"/>
      <c r="W96" s="184"/>
      <c r="X96" s="56" t="str">
        <f ca="1">G127</f>
        <v/>
      </c>
      <c r="Y96" s="69"/>
    </row>
    <row r="97" spans="1:25" ht="22" customHeight="1" x14ac:dyDescent="0.3">
      <c r="A97" s="153" t="s">
        <v>2297</v>
      </c>
      <c r="B97" s="154" t="str">
        <f>IF(W82="","",W82)</f>
        <v/>
      </c>
      <c r="C97" s="144">
        <f ca="1">VLOOKUP(A97,DB_TBL_DATA_FIELDS[[FIELD_ID]:[PCT_CALC_FIELD_STATUS_CODE]],22,FALSE)</f>
        <v>1</v>
      </c>
      <c r="D97" s="144" t="str">
        <f>IF(VLOOKUP(A97,DB_TBL_DATA_FIELDS[[FIELD_ID]:[ERROR_MESSAGE]],23,FALSE)&lt;&gt;0,VLOOKUP(A97,DB_TBL_DATA_FIELDS[[FIELD_ID]:[ERROR_MESSAGE]],23,FALSE),"")</f>
        <v/>
      </c>
      <c r="E97" s="144">
        <f>VLOOKUP(A97,DB_TBL_DATA_FIELDS[[#All],[FIELD_ID]:[RANGE_VALIDATION_MAX]],18,FALSE)</f>
        <v>0</v>
      </c>
      <c r="F97" s="144">
        <f>VLOOKUP(A97,DB_TBL_DATA_FIELDS[[#All],[FIELD_ID]:[RANGE_VALIDATION_MAX]],19,FALSE)</f>
        <v>0.5</v>
      </c>
      <c r="G97" s="144">
        <f t="shared" ca="1" si="10"/>
        <v>1</v>
      </c>
      <c r="H97" s="69"/>
      <c r="I97" s="178"/>
      <c r="J97" s="179"/>
      <c r="K97" s="179"/>
      <c r="L97" s="179"/>
      <c r="M97" s="179"/>
      <c r="N97" s="179"/>
      <c r="O97" s="179"/>
      <c r="P97" s="179"/>
      <c r="Q97" s="179"/>
      <c r="R97" s="65" t="str">
        <f ca="1">G123</f>
        <v/>
      </c>
      <c r="S97" s="182"/>
      <c r="T97" s="183"/>
      <c r="U97" s="183"/>
      <c r="V97" s="183"/>
      <c r="W97" s="184"/>
      <c r="X97" s="56" t="str">
        <f ca="1">G128</f>
        <v/>
      </c>
      <c r="Y97" s="69"/>
    </row>
    <row r="98" spans="1:25" ht="22" customHeight="1" x14ac:dyDescent="0.3">
      <c r="A98" s="161" t="s">
        <v>2298</v>
      </c>
      <c r="B98" s="162" t="str">
        <f>""</f>
        <v/>
      </c>
      <c r="C98" s="162" t="str">
        <f>VLOOKUP(A98,DB_TBL_DATA_FIELDS[[FIELD_ID]:[PCT_CALC_FIELD_STATUS_CODE]],22,FALSE)</f>
        <v/>
      </c>
      <c r="D98" s="162" t="str">
        <f>IF(VLOOKUP(A98,DB_TBL_DATA_FIELDS[[FIELD_ID]:[ERROR_MESSAGE]],23,FALSE)&lt;&gt;0,VLOOKUP(A98,DB_TBL_DATA_FIELDS[[FIELD_ID]:[ERROR_MESSAGE]],23,FALSE),"")</f>
        <v/>
      </c>
      <c r="E98" s="162">
        <f>VLOOKUP(A98,DB_TBL_DATA_FIELDS[[#All],[FIELD_ID]:[RANGE_VALIDATION_MAX]],18,FALSE)</f>
        <v>0</v>
      </c>
      <c r="F98" s="162">
        <f>VLOOKUP(A98,DB_TBL_DATA_FIELDS[[#All],[FIELD_ID]:[RANGE_VALIDATION_MAX]],19,FALSE)</f>
        <v>800</v>
      </c>
      <c r="G98" s="162" t="str">
        <f t="shared" si="10"/>
        <v/>
      </c>
      <c r="H98" s="69"/>
      <c r="I98" s="68"/>
      <c r="J98" s="68"/>
      <c r="K98" s="68"/>
      <c r="L98" s="68"/>
      <c r="M98" s="68"/>
      <c r="N98" s="68"/>
      <c r="O98" s="68"/>
      <c r="P98" s="39"/>
      <c r="Q98" s="69"/>
      <c r="R98" s="39"/>
      <c r="S98" s="69"/>
      <c r="T98" s="39"/>
      <c r="U98" s="69"/>
      <c r="V98" s="39"/>
      <c r="W98" s="69"/>
      <c r="X98" s="39"/>
      <c r="Y98" s="69"/>
    </row>
    <row r="99" spans="1:25" ht="22" customHeight="1" x14ac:dyDescent="0.3">
      <c r="A99" s="161" t="s">
        <v>2299</v>
      </c>
      <c r="B99" s="162" t="str">
        <f>""</f>
        <v/>
      </c>
      <c r="C99" s="162" t="str">
        <f>VLOOKUP(A99,DB_TBL_DATA_FIELDS[[FIELD_ID]:[PCT_CALC_FIELD_STATUS_CODE]],22,FALSE)</f>
        <v/>
      </c>
      <c r="D99" s="162" t="str">
        <f>IF(VLOOKUP(A99,DB_TBL_DATA_FIELDS[[FIELD_ID]:[ERROR_MESSAGE]],23,FALSE)&lt;&gt;0,VLOOKUP(A99,DB_TBL_DATA_FIELDS[[FIELD_ID]:[ERROR_MESSAGE]],23,FALSE),"")</f>
        <v/>
      </c>
      <c r="E99" s="162">
        <f>VLOOKUP(A99,DB_TBL_DATA_FIELDS[[#All],[FIELD_ID]:[RANGE_VALIDATION_MAX]],18,FALSE)</f>
        <v>0</v>
      </c>
      <c r="F99" s="162">
        <f>VLOOKUP(A99,DB_TBL_DATA_FIELDS[[#All],[FIELD_ID]:[RANGE_VALIDATION_MAX]],19,FALSE)</f>
        <v>1</v>
      </c>
      <c r="G99" s="162" t="str">
        <f t="shared" si="10"/>
        <v/>
      </c>
    </row>
    <row r="100" spans="1:25" hidden="1" x14ac:dyDescent="0.3">
      <c r="A100" s="161" t="s">
        <v>2300</v>
      </c>
      <c r="B100" s="162" t="str">
        <f>""</f>
        <v/>
      </c>
      <c r="C100" s="162" t="str">
        <f>VLOOKUP(A100,DB_TBL_DATA_FIELDS[[FIELD_ID]:[PCT_CALC_FIELD_STATUS_CODE]],22,FALSE)</f>
        <v/>
      </c>
      <c r="D100" s="162" t="str">
        <f>IF(VLOOKUP(A100,DB_TBL_DATA_FIELDS[[FIELD_ID]:[ERROR_MESSAGE]],23,FALSE)&lt;&gt;0,VLOOKUP(A100,DB_TBL_DATA_FIELDS[[FIELD_ID]:[ERROR_MESSAGE]],23,FALSE),"")</f>
        <v/>
      </c>
      <c r="E100" s="162">
        <f>VLOOKUP(A100,DB_TBL_DATA_FIELDS[[#All],[FIELD_ID]:[RANGE_VALIDATION_MAX]],18,FALSE)</f>
        <v>0</v>
      </c>
      <c r="F100" s="162">
        <f>VLOOKUP(A100,DB_TBL_DATA_FIELDS[[#All],[FIELD_ID]:[RANGE_VALIDATION_MAX]],19,FALSE)</f>
        <v>100</v>
      </c>
      <c r="G100" s="162" t="str">
        <f t="shared" si="10"/>
        <v/>
      </c>
    </row>
    <row r="101" spans="1:25" hidden="1" x14ac:dyDescent="0.3">
      <c r="A101" s="161" t="s">
        <v>2301</v>
      </c>
      <c r="B101" s="162" t="str">
        <f>""</f>
        <v/>
      </c>
      <c r="C101" s="162" t="str">
        <f>VLOOKUP(A101,DB_TBL_DATA_FIELDS[[FIELD_ID]:[PCT_CALC_FIELD_STATUS_CODE]],22,FALSE)</f>
        <v/>
      </c>
      <c r="D101" s="162" t="str">
        <f>IF(VLOOKUP(A101,DB_TBL_DATA_FIELDS[[FIELD_ID]:[ERROR_MESSAGE]],23,FALSE)&lt;&gt;0,VLOOKUP(A101,DB_TBL_DATA_FIELDS[[FIELD_ID]:[ERROR_MESSAGE]],23,FALSE),"")</f>
        <v/>
      </c>
      <c r="E101" s="162">
        <f>VLOOKUP(A101,DB_TBL_DATA_FIELDS[[#All],[FIELD_ID]:[RANGE_VALIDATION_MAX]],18,FALSE)</f>
        <v>1</v>
      </c>
      <c r="F101" s="162">
        <f>VLOOKUP(A101,DB_TBL_DATA_FIELDS[[#All],[FIELD_ID]:[RANGE_VALIDATION_MAX]],19,FALSE)</f>
        <v>999999999999</v>
      </c>
      <c r="G101" s="162" t="str">
        <f t="shared" si="10"/>
        <v/>
      </c>
    </row>
    <row r="102" spans="1:25" hidden="1" x14ac:dyDescent="0.3">
      <c r="A102" s="161" t="s">
        <v>2302</v>
      </c>
      <c r="B102" s="162" t="str">
        <f>""</f>
        <v/>
      </c>
      <c r="C102" s="162" t="str">
        <f>VLOOKUP(A102,DB_TBL_DATA_FIELDS[[FIELD_ID]:[PCT_CALC_FIELD_STATUS_CODE]],22,FALSE)</f>
        <v/>
      </c>
      <c r="D102" s="162" t="str">
        <f>IF(VLOOKUP(A102,DB_TBL_DATA_FIELDS[[FIELD_ID]:[ERROR_MESSAGE]],23,FALSE)&lt;&gt;0,VLOOKUP(A102,DB_TBL_DATA_FIELDS[[FIELD_ID]:[ERROR_MESSAGE]],23,FALSE),"")</f>
        <v/>
      </c>
      <c r="E102" s="162">
        <f>VLOOKUP(A102,DB_TBL_DATA_FIELDS[[#All],[FIELD_ID]:[RANGE_VALIDATION_MAX]],18,FALSE)</f>
        <v>0</v>
      </c>
      <c r="F102" s="162">
        <f>VLOOKUP(A102,DB_TBL_DATA_FIELDS[[#All],[FIELD_ID]:[RANGE_VALIDATION_MAX]],19,FALSE)</f>
        <v>10</v>
      </c>
      <c r="G102" s="162" t="str">
        <f t="shared" si="10"/>
        <v/>
      </c>
    </row>
    <row r="103" spans="1:25" hidden="1" x14ac:dyDescent="0.3">
      <c r="A103" s="161" t="s">
        <v>2303</v>
      </c>
      <c r="B103" s="162" t="str">
        <f>""</f>
        <v/>
      </c>
      <c r="C103" s="162" t="str">
        <f>VLOOKUP(A103,DB_TBL_DATA_FIELDS[[FIELD_ID]:[PCT_CALC_FIELD_STATUS_CODE]],22,FALSE)</f>
        <v/>
      </c>
      <c r="D103" s="162" t="str">
        <f>IF(VLOOKUP(A103,DB_TBL_DATA_FIELDS[[FIELD_ID]:[ERROR_MESSAGE]],23,FALSE)&lt;&gt;0,VLOOKUP(A103,DB_TBL_DATA_FIELDS[[FIELD_ID]:[ERROR_MESSAGE]],23,FALSE),"")</f>
        <v/>
      </c>
      <c r="E103" s="162">
        <f>VLOOKUP(A103,DB_TBL_DATA_FIELDS[[#All],[FIELD_ID]:[RANGE_VALIDATION_MAX]],18,FALSE)</f>
        <v>0</v>
      </c>
      <c r="F103" s="162">
        <f>VLOOKUP(A103,DB_TBL_DATA_FIELDS[[#All],[FIELD_ID]:[RANGE_VALIDATION_MAX]],19,FALSE)</f>
        <v>10</v>
      </c>
      <c r="G103" s="162" t="str">
        <f t="shared" si="10"/>
        <v/>
      </c>
    </row>
    <row r="104" spans="1:25" hidden="1" x14ac:dyDescent="0.3">
      <c r="A104" s="161" t="s">
        <v>2304</v>
      </c>
      <c r="B104" s="162" t="str">
        <f>""</f>
        <v/>
      </c>
      <c r="C104" s="162" t="str">
        <f>VLOOKUP(A104,DB_TBL_DATA_FIELDS[[FIELD_ID]:[PCT_CALC_FIELD_STATUS_CODE]],22,FALSE)</f>
        <v/>
      </c>
      <c r="D104" s="162" t="str">
        <f>IF(VLOOKUP(A104,DB_TBL_DATA_FIELDS[[FIELD_ID]:[ERROR_MESSAGE]],23,FALSE)&lt;&gt;0,VLOOKUP(A104,DB_TBL_DATA_FIELDS[[FIELD_ID]:[ERROR_MESSAGE]],23,FALSE),"")</f>
        <v/>
      </c>
      <c r="E104" s="162">
        <f>VLOOKUP(A104,DB_TBL_DATA_FIELDS[[#All],[FIELD_ID]:[RANGE_VALIDATION_MAX]],18,FALSE)</f>
        <v>0</v>
      </c>
      <c r="F104" s="162">
        <f>VLOOKUP(A104,DB_TBL_DATA_FIELDS[[#All],[FIELD_ID]:[RANGE_VALIDATION_MAX]],19,FALSE)</f>
        <v>50</v>
      </c>
      <c r="G104" s="162" t="str">
        <f t="shared" si="10"/>
        <v/>
      </c>
    </row>
    <row r="105" spans="1:25" hidden="1" x14ac:dyDescent="0.3">
      <c r="A105" s="161" t="s">
        <v>2305</v>
      </c>
      <c r="B105" s="162" t="str">
        <f>""</f>
        <v/>
      </c>
      <c r="C105" s="162" t="str">
        <f>VLOOKUP(A105,DB_TBL_DATA_FIELDS[[FIELD_ID]:[PCT_CALC_FIELD_STATUS_CODE]],22,FALSE)</f>
        <v/>
      </c>
      <c r="D105" s="162" t="str">
        <f>IF(VLOOKUP(A105,DB_TBL_DATA_FIELDS[[FIELD_ID]:[ERROR_MESSAGE]],23,FALSE)&lt;&gt;0,VLOOKUP(A105,DB_TBL_DATA_FIELDS[[FIELD_ID]:[ERROR_MESSAGE]],23,FALSE),"")</f>
        <v/>
      </c>
      <c r="E105" s="162">
        <f>VLOOKUP(A105,DB_TBL_DATA_FIELDS[[#All],[FIELD_ID]:[RANGE_VALIDATION_MAX]],18,FALSE)</f>
        <v>0</v>
      </c>
      <c r="F105" s="162">
        <f>VLOOKUP(A105,DB_TBL_DATA_FIELDS[[#All],[FIELD_ID]:[RANGE_VALIDATION_MAX]],19,FALSE)</f>
        <v>999</v>
      </c>
      <c r="G105" s="162" t="str">
        <f t="shared" si="10"/>
        <v/>
      </c>
    </row>
    <row r="106" spans="1:25" hidden="1" x14ac:dyDescent="0.3">
      <c r="A106" s="161" t="s">
        <v>2306</v>
      </c>
      <c r="B106" s="162" t="str">
        <f>""</f>
        <v/>
      </c>
      <c r="C106" s="162" t="str">
        <f>VLOOKUP(A106,DB_TBL_DATA_FIELDS[[FIELD_ID]:[PCT_CALC_FIELD_STATUS_CODE]],22,FALSE)</f>
        <v/>
      </c>
      <c r="D106" s="162" t="str">
        <f>IF(VLOOKUP(A106,DB_TBL_DATA_FIELDS[[FIELD_ID]:[ERROR_MESSAGE]],23,FALSE)&lt;&gt;0,VLOOKUP(A106,DB_TBL_DATA_FIELDS[[FIELD_ID]:[ERROR_MESSAGE]],23,FALSE),"")</f>
        <v/>
      </c>
      <c r="E106" s="162">
        <f>VLOOKUP(A106,DB_TBL_DATA_FIELDS[[#All],[FIELD_ID]:[RANGE_VALIDATION_MAX]],18,FALSE)</f>
        <v>0</v>
      </c>
      <c r="F106" s="162">
        <f>VLOOKUP(A106,DB_TBL_DATA_FIELDS[[#All],[FIELD_ID]:[RANGE_VALIDATION_MAX]],19,FALSE)</f>
        <v>1</v>
      </c>
      <c r="G106" s="162" t="str">
        <f t="shared" si="10"/>
        <v/>
      </c>
    </row>
    <row r="107" spans="1:25" hidden="1" x14ac:dyDescent="0.3">
      <c r="A107" s="161" t="s">
        <v>2307</v>
      </c>
      <c r="B107" s="162" t="str">
        <f>""</f>
        <v/>
      </c>
      <c r="C107" s="162" t="str">
        <f>VLOOKUP(A107,DB_TBL_DATA_FIELDS[[FIELD_ID]:[PCT_CALC_FIELD_STATUS_CODE]],22,FALSE)</f>
        <v/>
      </c>
      <c r="D107" s="162" t="str">
        <f>IF(VLOOKUP(A107,DB_TBL_DATA_FIELDS[[FIELD_ID]:[ERROR_MESSAGE]],23,FALSE)&lt;&gt;0,VLOOKUP(A107,DB_TBL_DATA_FIELDS[[FIELD_ID]:[ERROR_MESSAGE]],23,FALSE),"")</f>
        <v/>
      </c>
      <c r="E107" s="162">
        <f>VLOOKUP(A107,DB_TBL_DATA_FIELDS[[#All],[FIELD_ID]:[RANGE_VALIDATION_MAX]],18,FALSE)</f>
        <v>0</v>
      </c>
      <c r="F107" s="162">
        <f>VLOOKUP(A107,DB_TBL_DATA_FIELDS[[#All],[FIELD_ID]:[RANGE_VALIDATION_MAX]],19,FALSE)</f>
        <v>400</v>
      </c>
      <c r="G107" s="162" t="str">
        <f t="shared" si="10"/>
        <v/>
      </c>
    </row>
    <row r="108" spans="1:25" hidden="1" x14ac:dyDescent="0.3">
      <c r="A108" s="156" t="s">
        <v>163</v>
      </c>
      <c r="B108" s="145" t="str">
        <f>"C"&amp;MATCH(LEFT(A108,LEN(A108)-LEN("_RANGE")),A:A,0)+1&amp;":C"&amp;(ROW()-1)</f>
        <v>C82:C107</v>
      </c>
      <c r="C108" s="144"/>
      <c r="D108" s="144"/>
      <c r="E108" s="144"/>
      <c r="F108" s="144"/>
      <c r="G108" s="144"/>
    </row>
    <row r="109" spans="1:25" hidden="1" x14ac:dyDescent="0.3">
      <c r="A109" s="156" t="s">
        <v>164</v>
      </c>
      <c r="B109" s="145">
        <f ca="1">COUNTIF(INDIRECT($B108),2)</f>
        <v>0</v>
      </c>
      <c r="C109" s="144"/>
      <c r="D109" s="144"/>
      <c r="E109" s="144"/>
      <c r="F109" s="144"/>
      <c r="G109" s="144"/>
    </row>
    <row r="110" spans="1:25" hidden="1" x14ac:dyDescent="0.3">
      <c r="A110" s="156" t="s">
        <v>165</v>
      </c>
      <c r="B110" s="145">
        <f ca="1">COUNTIF(INDIRECT($B108),0)+COUNTIF(INDIRECT($B108),1)+COUNTIF(INDIRECT($B108),2)</f>
        <v>11</v>
      </c>
      <c r="C110" s="144"/>
      <c r="D110" s="144"/>
      <c r="E110" s="144"/>
      <c r="F110" s="144"/>
      <c r="G110" s="144"/>
    </row>
    <row r="111" spans="1:25" hidden="1" x14ac:dyDescent="0.3">
      <c r="A111" s="156" t="s">
        <v>166</v>
      </c>
      <c r="B111" s="145">
        <f ca="1">COUNTIF(INDIRECT($B108),0)</f>
        <v>0</v>
      </c>
      <c r="C111" s="144" t="s">
        <v>2179</v>
      </c>
      <c r="D111" s="144"/>
      <c r="E111" s="144"/>
      <c r="F111" s="144"/>
      <c r="G111" s="144"/>
    </row>
    <row r="112" spans="1:25" hidden="1" x14ac:dyDescent="0.3">
      <c r="A112" s="156" t="s">
        <v>167</v>
      </c>
      <c r="B112" s="157">
        <f ca="1">IFERROR(B109/B110,1.01)</f>
        <v>0</v>
      </c>
      <c r="C112" s="144"/>
      <c r="D112" s="144"/>
      <c r="E112" s="144"/>
      <c r="F112" s="144"/>
      <c r="G112" s="144"/>
    </row>
    <row r="113" spans="1:7" hidden="1" x14ac:dyDescent="0.3">
      <c r="A113" s="156" t="s">
        <v>168</v>
      </c>
      <c r="B113" s="158" t="str">
        <f ca="1">IF(B111&gt;0,"Data Error(s)",IF(B112=0,"Not Started",IF(B112&lt;1,ROUNDUP(B112*100,0)&amp;"% Done",IF(B112&gt;1,"Optional","Complete"))))</f>
        <v>Not Started</v>
      </c>
      <c r="C113" s="144"/>
      <c r="D113" s="144"/>
      <c r="E113" s="144"/>
      <c r="F113" s="144"/>
      <c r="G113" s="144"/>
    </row>
    <row r="114" spans="1:7" hidden="1" x14ac:dyDescent="0.3">
      <c r="A114" s="156" t="s">
        <v>169</v>
      </c>
      <c r="B114" s="145" t="str">
        <f ca="1">IF(B111&gt;0,0,IF(B112&lt;1,"",2))</f>
        <v/>
      </c>
      <c r="C114" s="144"/>
      <c r="D114" s="144"/>
      <c r="E114" s="144"/>
      <c r="F114" s="144"/>
      <c r="G114" s="144"/>
    </row>
    <row r="115" spans="1:7" hidden="1" x14ac:dyDescent="0.3">
      <c r="A115" s="156" t="s">
        <v>170</v>
      </c>
      <c r="B115" s="159" t="s">
        <v>2375</v>
      </c>
      <c r="C115" s="144"/>
      <c r="D115" s="144"/>
      <c r="E115" s="144"/>
      <c r="F115" s="144"/>
      <c r="G115" s="144"/>
    </row>
    <row r="116" spans="1:7" hidden="1" x14ac:dyDescent="0.3">
      <c r="A116" s="160" t="s">
        <v>2165</v>
      </c>
      <c r="B116" s="145">
        <v>0</v>
      </c>
      <c r="C116" s="144" t="s">
        <v>2177</v>
      </c>
      <c r="D116" s="144"/>
      <c r="E116" s="144"/>
      <c r="F116" s="144"/>
      <c r="G116" s="144"/>
    </row>
    <row r="117" spans="1:7" hidden="1" x14ac:dyDescent="0.3">
      <c r="A117" s="160" t="s">
        <v>2166</v>
      </c>
      <c r="B117" s="145" t="b">
        <f>(B116&gt;0)</f>
        <v>0</v>
      </c>
      <c r="C117" s="144"/>
      <c r="D117" s="144"/>
      <c r="E117" s="144"/>
      <c r="F117" s="144"/>
      <c r="G117" s="144"/>
    </row>
    <row r="118" spans="1:7" hidden="1" x14ac:dyDescent="0.3">
      <c r="A118" s="148" t="s">
        <v>175</v>
      </c>
      <c r="B118" s="149" t="s">
        <v>2376</v>
      </c>
      <c r="C118" s="151"/>
      <c r="D118" s="151"/>
      <c r="E118" s="151"/>
      <c r="F118" s="151"/>
      <c r="G118" s="152" t="str">
        <f>B137</f>
        <v>Other Grants or Mortgage Assistance</v>
      </c>
    </row>
    <row r="119" spans="1:7" hidden="1" x14ac:dyDescent="0.3">
      <c r="A119" s="153" t="s">
        <v>2347</v>
      </c>
      <c r="B119" s="154" t="str">
        <f>IF(W91="","",IF(UPPER(W91)="YES",TRUE,FALSE))</f>
        <v/>
      </c>
      <c r="C119" s="144">
        <f ca="1">VLOOKUP(A119,DB_TBL_DATA_FIELDS[[FIELD_ID]:[PCT_CALC_FIELD_STATUS_CODE]],22,FALSE)</f>
        <v>1</v>
      </c>
      <c r="D119" s="144" t="str">
        <f>IF(VLOOKUP(A119,DB_TBL_DATA_FIELDS[[FIELD_ID]:[ERROR_MESSAGE]],23,FALSE)&lt;&gt;0,VLOOKUP(A119,DB_TBL_DATA_FIELDS[[FIELD_ID]:[ERROR_MESSAGE]],23,FALSE),"")</f>
        <v/>
      </c>
      <c r="E119" s="144">
        <f>VLOOKUP(A119,DB_TBL_DATA_FIELDS[[#All],[FIELD_ID]:[RANGE_VALIDATION_MAX]],18,FALSE)</f>
        <v>0</v>
      </c>
      <c r="F119" s="144">
        <f>VLOOKUP(A119,DB_TBL_DATA_FIELDS[[#All],[FIELD_ID]:[RANGE_VALIDATION_MAX]],19,FALSE)</f>
        <v>1</v>
      </c>
      <c r="G119" s="144">
        <f t="shared" ref="G119" ca="1" si="12">IF(C119&lt;0,"",C119)</f>
        <v>1</v>
      </c>
    </row>
    <row r="120" spans="1:7" hidden="1" x14ac:dyDescent="0.3">
      <c r="A120" s="153" t="s">
        <v>2349</v>
      </c>
      <c r="B120" s="154" t="str">
        <f>IF(I94="","",I94)</f>
        <v/>
      </c>
      <c r="C120" s="144">
        <f ca="1">VLOOKUP(A120,DB_TBL_DATA_FIELDS[[FIELD_ID]:[PCT_CALC_FIELD_STATUS_CODE]],22,FALSE)</f>
        <v>-1</v>
      </c>
      <c r="D120" s="144" t="str">
        <f>IF(VLOOKUP(A120,DB_TBL_DATA_FIELDS[[FIELD_ID]:[ERROR_MESSAGE]],23,FALSE)&lt;&gt;0,VLOOKUP(A120,DB_TBL_DATA_FIELDS[[FIELD_ID]:[ERROR_MESSAGE]],23,FALSE),"")</f>
        <v/>
      </c>
      <c r="E120" s="144">
        <f>VLOOKUP(A120,DB_TBL_DATA_FIELDS[[#All],[FIELD_ID]:[RANGE_VALIDATION_MAX]],18,FALSE)</f>
        <v>0</v>
      </c>
      <c r="F120" s="144">
        <f>VLOOKUP(A120,DB_TBL_DATA_FIELDS[[#All],[FIELD_ID]:[RANGE_VALIDATION_MAX]],19,FALSE)</f>
        <v>48</v>
      </c>
      <c r="G120" s="144" t="str">
        <f t="shared" ref="G120:G129" ca="1" si="13">IF(C120&lt;0,"",C120)</f>
        <v/>
      </c>
    </row>
    <row r="121" spans="1:7" hidden="1" x14ac:dyDescent="0.3">
      <c r="A121" s="153" t="s">
        <v>2350</v>
      </c>
      <c r="B121" s="154" t="str">
        <f>IF(I95="","",I95)</f>
        <v/>
      </c>
      <c r="C121" s="144">
        <f ca="1">VLOOKUP(A121,DB_TBL_DATA_FIELDS[[FIELD_ID]:[PCT_CALC_FIELD_STATUS_CODE]],22,FALSE)</f>
        <v>-1</v>
      </c>
      <c r="D121" s="144" t="str">
        <f>IF(VLOOKUP(A121,DB_TBL_DATA_FIELDS[[FIELD_ID]:[ERROR_MESSAGE]],23,FALSE)&lt;&gt;0,VLOOKUP(A121,DB_TBL_DATA_FIELDS[[FIELD_ID]:[ERROR_MESSAGE]],23,FALSE),"")</f>
        <v/>
      </c>
      <c r="E121" s="144">
        <f>VLOOKUP(A121,DB_TBL_DATA_FIELDS[[#All],[FIELD_ID]:[RANGE_VALIDATION_MAX]],18,FALSE)</f>
        <v>0</v>
      </c>
      <c r="F121" s="144">
        <f>VLOOKUP(A121,DB_TBL_DATA_FIELDS[[#All],[FIELD_ID]:[RANGE_VALIDATION_MAX]],19,FALSE)</f>
        <v>48</v>
      </c>
      <c r="G121" s="144" t="str">
        <f t="shared" ca="1" si="13"/>
        <v/>
      </c>
    </row>
    <row r="122" spans="1:7" hidden="1" x14ac:dyDescent="0.3">
      <c r="A122" s="153" t="s">
        <v>2351</v>
      </c>
      <c r="B122" s="154" t="str">
        <f>IF(I96="","",I96)</f>
        <v/>
      </c>
      <c r="C122" s="144">
        <f ca="1">VLOOKUP(A122,DB_TBL_DATA_FIELDS[[FIELD_ID]:[PCT_CALC_FIELD_STATUS_CODE]],22,FALSE)</f>
        <v>-1</v>
      </c>
      <c r="D122" s="144" t="str">
        <f>IF(VLOOKUP(A122,DB_TBL_DATA_FIELDS[[FIELD_ID]:[ERROR_MESSAGE]],23,FALSE)&lt;&gt;0,VLOOKUP(A122,DB_TBL_DATA_FIELDS[[FIELD_ID]:[ERROR_MESSAGE]],23,FALSE),"")</f>
        <v/>
      </c>
      <c r="E122" s="144">
        <f>VLOOKUP(A122,DB_TBL_DATA_FIELDS[[#All],[FIELD_ID]:[RANGE_VALIDATION_MAX]],18,FALSE)</f>
        <v>0</v>
      </c>
      <c r="F122" s="144">
        <f>VLOOKUP(A122,DB_TBL_DATA_FIELDS[[#All],[FIELD_ID]:[RANGE_VALIDATION_MAX]],19,FALSE)</f>
        <v>48</v>
      </c>
      <c r="G122" s="144" t="str">
        <f t="shared" ca="1" si="13"/>
        <v/>
      </c>
    </row>
    <row r="123" spans="1:7" hidden="1" x14ac:dyDescent="0.3">
      <c r="A123" s="153" t="s">
        <v>2352</v>
      </c>
      <c r="B123" s="154" t="str">
        <f>IF(I97="","",I97)</f>
        <v/>
      </c>
      <c r="C123" s="144">
        <f ca="1">VLOOKUP(A123,DB_TBL_DATA_FIELDS[[FIELD_ID]:[PCT_CALC_FIELD_STATUS_CODE]],22,FALSE)</f>
        <v>-1</v>
      </c>
      <c r="D123" s="144" t="str">
        <f>IF(VLOOKUP(A123,DB_TBL_DATA_FIELDS[[FIELD_ID]:[ERROR_MESSAGE]],23,FALSE)&lt;&gt;0,VLOOKUP(A123,DB_TBL_DATA_FIELDS[[FIELD_ID]:[ERROR_MESSAGE]],23,FALSE),"")</f>
        <v/>
      </c>
      <c r="E123" s="144">
        <f>VLOOKUP(A123,DB_TBL_DATA_FIELDS[[#All],[FIELD_ID]:[RANGE_VALIDATION_MAX]],18,FALSE)</f>
        <v>0</v>
      </c>
      <c r="F123" s="144">
        <f>VLOOKUP(A123,DB_TBL_DATA_FIELDS[[#All],[FIELD_ID]:[RANGE_VALIDATION_MAX]],19,FALSE)</f>
        <v>48</v>
      </c>
      <c r="G123" s="144" t="str">
        <f t="shared" ca="1" si="13"/>
        <v/>
      </c>
    </row>
    <row r="124" spans="1:7" hidden="1" x14ac:dyDescent="0.3">
      <c r="A124" s="153" t="s">
        <v>2353</v>
      </c>
      <c r="B124" s="145" t="str">
        <f ca="1">VLOOKUP(A124,'$DB.DATA'!D:H,5,FALSE)</f>
        <v/>
      </c>
      <c r="C124" s="144">
        <f ca="1">VLOOKUP(A124,DB_TBL_DATA_FIELDS[[FIELD_ID]:[PCT_CALC_FIELD_STATUS_CODE]],22,FALSE)</f>
        <v>-1</v>
      </c>
      <c r="D124" s="144" t="str">
        <f>IF(VLOOKUP(A124,DB_TBL_DATA_FIELDS[[FIELD_ID]:[ERROR_MESSAGE]],23,FALSE)&lt;&gt;0,VLOOKUP(A124,DB_TBL_DATA_FIELDS[[FIELD_ID]:[ERROR_MESSAGE]],23,FALSE),"")</f>
        <v/>
      </c>
      <c r="E124" s="144">
        <f>VLOOKUP(A124,DB_TBL_DATA_FIELDS[[#All],[FIELD_ID]:[RANGE_VALIDATION_MAX]],18,FALSE)</f>
        <v>0</v>
      </c>
      <c r="F124" s="144">
        <f>VLOOKUP(A124,DB_TBL_DATA_FIELDS[[#All],[FIELD_ID]:[RANGE_VALIDATION_MAX]],19,FALSE)</f>
        <v>200</v>
      </c>
      <c r="G124" s="144" t="str">
        <f t="shared" ca="1" si="13"/>
        <v/>
      </c>
    </row>
    <row r="125" spans="1:7" hidden="1" x14ac:dyDescent="0.3">
      <c r="A125" s="153" t="s">
        <v>2354</v>
      </c>
      <c r="B125" s="154" t="str">
        <f>IF(S94="","",S94)</f>
        <v/>
      </c>
      <c r="C125" s="144">
        <f ca="1">VLOOKUP(A125,DB_TBL_DATA_FIELDS[[FIELD_ID]:[PCT_CALC_FIELD_STATUS_CODE]],22,FALSE)</f>
        <v>-1</v>
      </c>
      <c r="D125" s="144" t="str">
        <f>IF(VLOOKUP(A125,DB_TBL_DATA_FIELDS[[FIELD_ID]:[ERROR_MESSAGE]],23,FALSE)&lt;&gt;0,VLOOKUP(A125,DB_TBL_DATA_FIELDS[[FIELD_ID]:[ERROR_MESSAGE]],23,FALSE),"")</f>
        <v/>
      </c>
      <c r="E125" s="144">
        <f>VLOOKUP(A125,DB_TBL_DATA_FIELDS[[#All],[FIELD_ID]:[RANGE_VALIDATION_MAX]],18,FALSE)</f>
        <v>1</v>
      </c>
      <c r="F125" s="144">
        <f>VLOOKUP(A125,DB_TBL_DATA_FIELDS[[#All],[FIELD_ID]:[RANGE_VALIDATION_MAX]],19,FALSE)</f>
        <v>999999999999</v>
      </c>
      <c r="G125" s="144" t="str">
        <f t="shared" ca="1" si="13"/>
        <v/>
      </c>
    </row>
    <row r="126" spans="1:7" hidden="1" x14ac:dyDescent="0.3">
      <c r="A126" s="153" t="s">
        <v>2355</v>
      </c>
      <c r="B126" s="154" t="str">
        <f>IF(S95="","",S95)</f>
        <v/>
      </c>
      <c r="C126" s="144">
        <f ca="1">VLOOKUP(A126,DB_TBL_DATA_FIELDS[[FIELD_ID]:[PCT_CALC_FIELD_STATUS_CODE]],22,FALSE)</f>
        <v>-1</v>
      </c>
      <c r="D126" s="144" t="str">
        <f>IF(VLOOKUP(A126,DB_TBL_DATA_FIELDS[[FIELD_ID]:[ERROR_MESSAGE]],23,FALSE)&lt;&gt;0,VLOOKUP(A126,DB_TBL_DATA_FIELDS[[FIELD_ID]:[ERROR_MESSAGE]],23,FALSE),"")</f>
        <v/>
      </c>
      <c r="E126" s="144">
        <f>VLOOKUP(A126,DB_TBL_DATA_FIELDS[[#All],[FIELD_ID]:[RANGE_VALIDATION_MAX]],18,FALSE)</f>
        <v>1</v>
      </c>
      <c r="F126" s="144">
        <f>VLOOKUP(A126,DB_TBL_DATA_FIELDS[[#All],[FIELD_ID]:[RANGE_VALIDATION_MAX]],19,FALSE)</f>
        <v>999999999999</v>
      </c>
      <c r="G126" s="144" t="str">
        <f t="shared" ca="1" si="13"/>
        <v/>
      </c>
    </row>
    <row r="127" spans="1:7" hidden="1" x14ac:dyDescent="0.3">
      <c r="A127" s="153" t="s">
        <v>2356</v>
      </c>
      <c r="B127" s="154" t="str">
        <f>IF(S96="","",S96)</f>
        <v/>
      </c>
      <c r="C127" s="144">
        <f ca="1">VLOOKUP(A127,DB_TBL_DATA_FIELDS[[FIELD_ID]:[PCT_CALC_FIELD_STATUS_CODE]],22,FALSE)</f>
        <v>-1</v>
      </c>
      <c r="D127" s="144" t="str">
        <f>IF(VLOOKUP(A127,DB_TBL_DATA_FIELDS[[FIELD_ID]:[ERROR_MESSAGE]],23,FALSE)&lt;&gt;0,VLOOKUP(A127,DB_TBL_DATA_FIELDS[[FIELD_ID]:[ERROR_MESSAGE]],23,FALSE),"")</f>
        <v/>
      </c>
      <c r="E127" s="144">
        <f>VLOOKUP(A127,DB_TBL_DATA_FIELDS[[#All],[FIELD_ID]:[RANGE_VALIDATION_MAX]],18,FALSE)</f>
        <v>1</v>
      </c>
      <c r="F127" s="144">
        <f>VLOOKUP(A127,DB_TBL_DATA_FIELDS[[#All],[FIELD_ID]:[RANGE_VALIDATION_MAX]],19,FALSE)</f>
        <v>999999999999</v>
      </c>
      <c r="G127" s="144" t="str">
        <f t="shared" ca="1" si="13"/>
        <v/>
      </c>
    </row>
    <row r="128" spans="1:7" hidden="1" x14ac:dyDescent="0.3">
      <c r="A128" s="153" t="s">
        <v>2357</v>
      </c>
      <c r="B128" s="154" t="str">
        <f>IF(S97="","",S97)</f>
        <v/>
      </c>
      <c r="C128" s="144">
        <f ca="1">VLOOKUP(A128,DB_TBL_DATA_FIELDS[[FIELD_ID]:[PCT_CALC_FIELD_STATUS_CODE]],22,FALSE)</f>
        <v>-1</v>
      </c>
      <c r="D128" s="144" t="str">
        <f>IF(VLOOKUP(A128,DB_TBL_DATA_FIELDS[[FIELD_ID]:[ERROR_MESSAGE]],23,FALSE)&lt;&gt;0,VLOOKUP(A128,DB_TBL_DATA_FIELDS[[FIELD_ID]:[ERROR_MESSAGE]],23,FALSE),"")</f>
        <v/>
      </c>
      <c r="E128" s="144">
        <f>VLOOKUP(A128,DB_TBL_DATA_FIELDS[[#All],[FIELD_ID]:[RANGE_VALIDATION_MAX]],18,FALSE)</f>
        <v>1</v>
      </c>
      <c r="F128" s="144">
        <f>VLOOKUP(A128,DB_TBL_DATA_FIELDS[[#All],[FIELD_ID]:[RANGE_VALIDATION_MAX]],19,FALSE)</f>
        <v>999999999999</v>
      </c>
      <c r="G128" s="144" t="str">
        <f t="shared" ca="1" si="13"/>
        <v/>
      </c>
    </row>
    <row r="129" spans="1:7" hidden="1" x14ac:dyDescent="0.3">
      <c r="A129" s="153" t="s">
        <v>2358</v>
      </c>
      <c r="B129" s="145" t="str">
        <f ca="1">VLOOKUP(A129,'$DB.DATA'!D:H,5,FALSE)</f>
        <v/>
      </c>
      <c r="C129" s="144">
        <f ca="1">VLOOKUP(A129,DB_TBL_DATA_FIELDS[[FIELD_ID]:[PCT_CALC_FIELD_STATUS_CODE]],22,FALSE)</f>
        <v>-1</v>
      </c>
      <c r="D129" s="144" t="str">
        <f>IF(VLOOKUP(A129,DB_TBL_DATA_FIELDS[[FIELD_ID]:[ERROR_MESSAGE]],23,FALSE)&lt;&gt;0,VLOOKUP(A129,DB_TBL_DATA_FIELDS[[FIELD_ID]:[ERROR_MESSAGE]],23,FALSE),"")</f>
        <v/>
      </c>
      <c r="E129" s="144">
        <f>VLOOKUP(A129,DB_TBL_DATA_FIELDS[[#All],[FIELD_ID]:[RANGE_VALIDATION_MAX]],18,FALSE)</f>
        <v>1</v>
      </c>
      <c r="F129" s="144">
        <f>VLOOKUP(A129,DB_TBL_DATA_FIELDS[[#All],[FIELD_ID]:[RANGE_VALIDATION_MAX]],19,FALSE)</f>
        <v>999999999999</v>
      </c>
      <c r="G129" s="144" t="str">
        <f t="shared" ca="1" si="13"/>
        <v/>
      </c>
    </row>
    <row r="130" spans="1:7" hidden="1" x14ac:dyDescent="0.3">
      <c r="A130" s="156" t="s">
        <v>177</v>
      </c>
      <c r="B130" s="145" t="str">
        <f>"C"&amp;MATCH(LEFT(A130,LEN(A130)-LEN("_RANGE")),A:A,0)+1&amp;":C"&amp;(ROW()-1)</f>
        <v>C119:C129</v>
      </c>
      <c r="C130" s="144"/>
      <c r="D130" s="144"/>
      <c r="E130" s="144"/>
      <c r="F130" s="144"/>
      <c r="G130" s="144"/>
    </row>
    <row r="131" spans="1:7" hidden="1" x14ac:dyDescent="0.3">
      <c r="A131" s="156" t="s">
        <v>178</v>
      </c>
      <c r="B131" s="145">
        <f ca="1">COUNTIF(INDIRECT($B130),2)</f>
        <v>0</v>
      </c>
      <c r="C131" s="144"/>
      <c r="D131" s="144"/>
      <c r="E131" s="144"/>
      <c r="F131" s="144"/>
      <c r="G131" s="144"/>
    </row>
    <row r="132" spans="1:7" hidden="1" x14ac:dyDescent="0.3">
      <c r="A132" s="156" t="s">
        <v>179</v>
      </c>
      <c r="B132" s="145">
        <f ca="1">COUNTIF(INDIRECT($B130),0)+COUNTIF(INDIRECT($B130),1)+COUNTIF(INDIRECT($B130),2)</f>
        <v>1</v>
      </c>
      <c r="C132" s="144"/>
      <c r="D132" s="144"/>
      <c r="E132" s="144"/>
      <c r="F132" s="144"/>
      <c r="G132" s="144"/>
    </row>
    <row r="133" spans="1:7" hidden="1" x14ac:dyDescent="0.3">
      <c r="A133" s="156" t="s">
        <v>180</v>
      </c>
      <c r="B133" s="145">
        <f ca="1">COUNTIF(INDIRECT($B130),0)</f>
        <v>0</v>
      </c>
      <c r="C133" s="144" t="s">
        <v>2179</v>
      </c>
      <c r="D133" s="144"/>
      <c r="E133" s="144"/>
      <c r="F133" s="144"/>
      <c r="G133" s="144"/>
    </row>
    <row r="134" spans="1:7" hidden="1" x14ac:dyDescent="0.3">
      <c r="A134" s="156" t="s">
        <v>181</v>
      </c>
      <c r="B134" s="157">
        <f ca="1">IFERROR(B131/B132,1.01)</f>
        <v>0</v>
      </c>
      <c r="C134" s="144"/>
      <c r="D134" s="144"/>
      <c r="E134" s="144"/>
      <c r="F134" s="144"/>
      <c r="G134" s="144"/>
    </row>
    <row r="135" spans="1:7" hidden="1" x14ac:dyDescent="0.3">
      <c r="A135" s="156" t="s">
        <v>182</v>
      </c>
      <c r="B135" s="158" t="str">
        <f ca="1">IF(B133&gt;0,"Data Error(s)",IF(B134=0,"Not Started",IF(B134&lt;1,ROUNDUP(B134*100,0)&amp;"% Done",IF(B134&gt;1,"Optional","Complete"))))</f>
        <v>Not Started</v>
      </c>
      <c r="C135" s="144"/>
      <c r="D135" s="144"/>
      <c r="E135" s="144"/>
      <c r="F135" s="144"/>
      <c r="G135" s="144"/>
    </row>
    <row r="136" spans="1:7" hidden="1" x14ac:dyDescent="0.3">
      <c r="A136" s="156" t="s">
        <v>183</v>
      </c>
      <c r="B136" s="145" t="str">
        <f ca="1">IF(B133&gt;0,0,IF(B134&lt;1,"",2))</f>
        <v/>
      </c>
      <c r="C136" s="144"/>
      <c r="D136" s="144"/>
      <c r="E136" s="144"/>
      <c r="F136" s="144"/>
      <c r="G136" s="144"/>
    </row>
    <row r="137" spans="1:7" hidden="1" x14ac:dyDescent="0.3">
      <c r="A137" s="156" t="s">
        <v>184</v>
      </c>
      <c r="B137" s="159" t="s">
        <v>2376</v>
      </c>
      <c r="C137" s="144"/>
      <c r="D137" s="144"/>
      <c r="E137" s="144"/>
      <c r="F137" s="144"/>
      <c r="G137" s="144"/>
    </row>
    <row r="138" spans="1:7" hidden="1" x14ac:dyDescent="0.3">
      <c r="A138" s="160" t="s">
        <v>2163</v>
      </c>
      <c r="B138" s="145">
        <v>0</v>
      </c>
      <c r="C138" s="144" t="s">
        <v>2177</v>
      </c>
      <c r="D138" s="144"/>
      <c r="E138" s="144"/>
      <c r="F138" s="144"/>
      <c r="G138" s="144"/>
    </row>
    <row r="139" spans="1:7" hidden="1" x14ac:dyDescent="0.3">
      <c r="A139" s="160" t="s">
        <v>2164</v>
      </c>
      <c r="B139" s="145" t="b">
        <f>(B138&gt;0)</f>
        <v>0</v>
      </c>
      <c r="C139" s="144"/>
      <c r="D139" s="144"/>
      <c r="E139" s="144"/>
      <c r="F139" s="144"/>
      <c r="G139" s="144"/>
    </row>
    <row r="140" spans="1:7" hidden="1" x14ac:dyDescent="0.3">
      <c r="A140" s="37"/>
      <c r="B140" s="37"/>
      <c r="C140" s="37"/>
      <c r="D140" s="37"/>
      <c r="E140" s="37"/>
      <c r="F140" s="37"/>
      <c r="G140" s="37"/>
    </row>
    <row r="141" spans="1:7" hidden="1" x14ac:dyDescent="0.3">
      <c r="A141" s="37"/>
      <c r="B141" s="37"/>
      <c r="C141" s="37"/>
      <c r="D141" s="37"/>
      <c r="E141" s="37"/>
      <c r="F141" s="37"/>
      <c r="G141" s="37"/>
    </row>
    <row r="142" spans="1:7" hidden="1" x14ac:dyDescent="0.3">
      <c r="A142" s="37"/>
      <c r="B142" s="37"/>
      <c r="C142" s="37"/>
      <c r="D142" s="37"/>
      <c r="E142" s="37"/>
      <c r="F142" s="37"/>
      <c r="G142" s="37"/>
    </row>
    <row r="143" spans="1:7" hidden="1" x14ac:dyDescent="0.3">
      <c r="A143" s="37"/>
      <c r="B143" s="37"/>
      <c r="C143" s="37"/>
      <c r="D143" s="37"/>
      <c r="E143" s="37"/>
      <c r="F143" s="37"/>
      <c r="G143" s="37"/>
    </row>
    <row r="144" spans="1:7" hidden="1" x14ac:dyDescent="0.3">
      <c r="A144" s="37"/>
      <c r="B144" s="37"/>
      <c r="C144" s="37"/>
      <c r="D144" s="37"/>
      <c r="E144" s="37"/>
      <c r="F144" s="37"/>
      <c r="G144" s="37"/>
    </row>
    <row r="145" spans="1:7" hidden="1" x14ac:dyDescent="0.3">
      <c r="A145" s="37"/>
      <c r="B145" s="37"/>
      <c r="C145" s="37"/>
      <c r="D145" s="37"/>
      <c r="E145" s="37"/>
      <c r="F145" s="37"/>
      <c r="G145" s="37"/>
    </row>
    <row r="146" spans="1:7" hidden="1" x14ac:dyDescent="0.3">
      <c r="A146" s="37"/>
      <c r="B146" s="37"/>
      <c r="C146" s="37"/>
      <c r="D146" s="37"/>
      <c r="E146" s="37"/>
      <c r="F146" s="37"/>
      <c r="G146" s="37"/>
    </row>
    <row r="147" spans="1:7" hidden="1" x14ac:dyDescent="0.3">
      <c r="A147" s="37"/>
      <c r="B147" s="37"/>
      <c r="C147" s="37"/>
      <c r="D147" s="37"/>
      <c r="E147" s="37"/>
      <c r="F147" s="37"/>
      <c r="G147" s="37"/>
    </row>
    <row r="148" spans="1:7" hidden="1" x14ac:dyDescent="0.3">
      <c r="A148" s="136"/>
      <c r="B148" s="136"/>
      <c r="C148" s="136"/>
      <c r="D148" s="136"/>
      <c r="E148" s="136"/>
      <c r="F148" s="136"/>
      <c r="G148" s="136"/>
    </row>
    <row r="149" spans="1:7" hidden="1" x14ac:dyDescent="0.3"/>
    <row r="150" spans="1:7" hidden="1" x14ac:dyDescent="0.3"/>
    <row r="151" spans="1:7" hidden="1" x14ac:dyDescent="0.3"/>
    <row r="152" spans="1:7" hidden="1" x14ac:dyDescent="0.3"/>
    <row r="153" spans="1:7" hidden="1" x14ac:dyDescent="0.3"/>
    <row r="154" spans="1:7" hidden="1" x14ac:dyDescent="0.3"/>
    <row r="155" spans="1:7" hidden="1" x14ac:dyDescent="0.3"/>
    <row r="156" spans="1:7" hidden="1" x14ac:dyDescent="0.3"/>
    <row r="157" spans="1:7" hidden="1" x14ac:dyDescent="0.3"/>
    <row r="158" spans="1:7" hidden="1" x14ac:dyDescent="0.3"/>
    <row r="159" spans="1:7" hidden="1" x14ac:dyDescent="0.3"/>
    <row r="160" spans="1:7"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hidden="1" x14ac:dyDescent="0.3"/>
  </sheetData>
  <sheetProtection algorithmName="SHA-512" hashValue="XVuKn4fX33XLI2nzbi33k4KaHM8aomIWrKCGIyAPaSIYGPhD1y7H/ND3sjRY+tCD8L400nIvfcBhCeAA8PEyPA==" saltValue="ETUJ59FuOG5hL1BsbDdsGw==" spinCount="100000" sheet="1" selectLockedCells="1"/>
  <dataConsolidate/>
  <mergeCells count="58">
    <mergeCell ref="I6:Y6"/>
    <mergeCell ref="I23:M23"/>
    <mergeCell ref="I24:M24"/>
    <mergeCell ref="I30:M30"/>
    <mergeCell ref="I25:M25"/>
    <mergeCell ref="U19:X19"/>
    <mergeCell ref="Q23:U23"/>
    <mergeCell ref="Q25:U25"/>
    <mergeCell ref="Q24:U24"/>
    <mergeCell ref="O30:Q30"/>
    <mergeCell ref="S30:W30"/>
    <mergeCell ref="I8:X8"/>
    <mergeCell ref="I17:X17"/>
    <mergeCell ref="I9:X16"/>
    <mergeCell ref="U54:W54"/>
    <mergeCell ref="U55:W55"/>
    <mergeCell ref="S41:W41"/>
    <mergeCell ref="I42:W43"/>
    <mergeCell ref="Q49:W49"/>
    <mergeCell ref="I55:R55"/>
    <mergeCell ref="I32:M32"/>
    <mergeCell ref="U53:W53"/>
    <mergeCell ref="S37:W37"/>
    <mergeCell ref="S38:W38"/>
    <mergeCell ref="S39:W40"/>
    <mergeCell ref="I34:R34"/>
    <mergeCell ref="I37:Q37"/>
    <mergeCell ref="S34:W34"/>
    <mergeCell ref="S35:W35"/>
    <mergeCell ref="I35:Q35"/>
    <mergeCell ref="I36:Q36"/>
    <mergeCell ref="S36:W36"/>
    <mergeCell ref="U52:W52"/>
    <mergeCell ref="U51:W51"/>
    <mergeCell ref="O32:Q32"/>
    <mergeCell ref="S32:W32"/>
    <mergeCell ref="I76:O76"/>
    <mergeCell ref="Q76:S76"/>
    <mergeCell ref="I62:Q62"/>
    <mergeCell ref="S62:W62"/>
    <mergeCell ref="I64:K64"/>
    <mergeCell ref="S64:W64"/>
    <mergeCell ref="S56:W56"/>
    <mergeCell ref="I97:Q97"/>
    <mergeCell ref="I93:R93"/>
    <mergeCell ref="S93:W93"/>
    <mergeCell ref="I94:Q94"/>
    <mergeCell ref="S94:W94"/>
    <mergeCell ref="I95:Q95"/>
    <mergeCell ref="S95:W95"/>
    <mergeCell ref="I96:Q96"/>
    <mergeCell ref="S96:W96"/>
    <mergeCell ref="S97:W97"/>
    <mergeCell ref="I85:W86"/>
    <mergeCell ref="Q80:S81"/>
    <mergeCell ref="I79:K79"/>
    <mergeCell ref="Q79:S79"/>
    <mergeCell ref="M79:O79"/>
  </mergeCells>
  <conditionalFormatting sqref="H6">
    <cfRule type="expression" dxfId="14" priority="451">
      <formula>($B$10=TRUE)</formula>
    </cfRule>
    <cfRule type="iconSet" priority="450">
      <iconSet iconSet="3Flags" showValue="0">
        <cfvo type="percent" val="0"/>
        <cfvo type="num" val="1"/>
        <cfvo type="num" val="2" gte="0"/>
      </iconSet>
    </cfRule>
  </conditionalFormatting>
  <conditionalFormatting sqref="I23:M25">
    <cfRule type="expression" dxfId="13" priority="285">
      <formula>LEN($I23)&lt;=10</formula>
    </cfRule>
  </conditionalFormatting>
  <conditionalFormatting sqref="I94:W97">
    <cfRule type="expression" dxfId="12" priority="14">
      <formula>NOT(OTHER_GRANTS_FLAG=TRUE)</formula>
    </cfRule>
  </conditionalFormatting>
  <conditionalFormatting sqref="I6:Y6">
    <cfRule type="expression" dxfId="11" priority="452">
      <formula>($B$10=TRUE)</formula>
    </cfRule>
  </conditionalFormatting>
  <conditionalFormatting sqref="L79">
    <cfRule type="iconSet" priority="44">
      <iconSet iconSet="3Symbols" showValue="0">
        <cfvo type="percent" val="0"/>
        <cfvo type="num" val="0" gte="0"/>
        <cfvo type="num" val="2"/>
      </iconSet>
    </cfRule>
  </conditionalFormatting>
  <conditionalFormatting sqref="O23:P25">
    <cfRule type="expression" dxfId="10" priority="472">
      <formula>($P23=0)</formula>
    </cfRule>
    <cfRule type="expression" dxfId="9" priority="478">
      <formula>($P23=2)</formula>
    </cfRule>
  </conditionalFormatting>
  <conditionalFormatting sqref="P76">
    <cfRule type="iconSet" priority="52">
      <iconSet iconSet="3Symbols" showValue="0">
        <cfvo type="percent" val="0"/>
        <cfvo type="num" val="0" gte="0"/>
        <cfvo type="num" val="2"/>
      </iconSet>
    </cfRule>
  </conditionalFormatting>
  <conditionalFormatting sqref="P79">
    <cfRule type="iconSet" priority="42">
      <iconSet iconSet="3Symbols" showValue="0">
        <cfvo type="percent" val="0"/>
        <cfvo type="num" val="0" gte="0"/>
        <cfvo type="num" val="2"/>
      </iconSet>
    </cfRule>
  </conditionalFormatting>
  <conditionalFormatting sqref="Q80">
    <cfRule type="notContainsBlanks" dxfId="8" priority="39">
      <formula>LEN(TRIM(Q80))&gt;0</formula>
    </cfRule>
  </conditionalFormatting>
  <conditionalFormatting sqref="Q23:U25">
    <cfRule type="expression" dxfId="7" priority="286">
      <formula>LEN($Q23)&lt;=10</formula>
    </cfRule>
  </conditionalFormatting>
  <conditionalFormatting sqref="R19 N19 J19">
    <cfRule type="iconSet" priority="484">
      <iconSet iconSet="3Symbols" showValue="0">
        <cfvo type="percent" val="0"/>
        <cfvo type="num" val="0" gte="0"/>
        <cfvo type="num" val="2"/>
      </iconSet>
    </cfRule>
  </conditionalFormatting>
  <conditionalFormatting sqref="R64 N64 R62 X62 X64 L64">
    <cfRule type="iconSet" priority="6374">
      <iconSet iconSet="3Symbols" showValue="0">
        <cfvo type="percent" val="0"/>
        <cfvo type="num" val="0" gte="0"/>
        <cfvo type="num" val="2"/>
      </iconSet>
    </cfRule>
  </conditionalFormatting>
  <conditionalFormatting sqref="R94:R97 X94:X97">
    <cfRule type="iconSet" priority="6371">
      <iconSet iconSet="3Symbols" showValue="0">
        <cfvo type="percent" val="0"/>
        <cfvo type="num" val="0" gte="0"/>
        <cfvo type="num" val="2"/>
      </iconSet>
    </cfRule>
  </conditionalFormatting>
  <conditionalFormatting sqref="S3">
    <cfRule type="dataBar" priority="906">
      <dataBar>
        <cfvo type="num" val="0"/>
        <cfvo type="num" val="1"/>
        <color theme="6" tint="-0.249977111117893"/>
      </dataBar>
    </cfRule>
  </conditionalFormatting>
  <conditionalFormatting sqref="S39">
    <cfRule type="notContainsBlanks" dxfId="6" priority="10">
      <formula>LEN(TRIM(S39))&gt;0</formula>
    </cfRule>
  </conditionalFormatting>
  <conditionalFormatting sqref="S56">
    <cfRule type="notContainsBlanks" dxfId="5" priority="9">
      <formula>LEN(TRIM(S56))&gt;0</formula>
    </cfRule>
  </conditionalFormatting>
  <conditionalFormatting sqref="S36:W37">
    <cfRule type="expression" dxfId="4" priority="64">
      <formula>$I36=""</formula>
    </cfRule>
  </conditionalFormatting>
  <conditionalFormatting sqref="S95:W97">
    <cfRule type="expression" dxfId="3" priority="15">
      <formula>$I95=""</formula>
    </cfRule>
  </conditionalFormatting>
  <conditionalFormatting sqref="T3">
    <cfRule type="iconSet" priority="400">
      <iconSet iconSet="3Symbols2" showValue="0">
        <cfvo type="percent" val="0"/>
        <cfvo type="num" val="0" gte="0"/>
        <cfvo type="num" val="2"/>
      </iconSet>
    </cfRule>
  </conditionalFormatting>
  <conditionalFormatting sqref="T76">
    <cfRule type="iconSet" priority="49">
      <iconSet iconSet="3Symbols" showValue="0">
        <cfvo type="percent" val="0"/>
        <cfvo type="num" val="0" gte="0"/>
        <cfvo type="num" val="2"/>
      </iconSet>
    </cfRule>
  </conditionalFormatting>
  <conditionalFormatting sqref="T79">
    <cfRule type="iconSet" priority="43">
      <iconSet iconSet="3Symbols" showValue="0">
        <cfvo type="percent" val="0"/>
        <cfvo type="num" val="0" gte="0"/>
        <cfvo type="num" val="2"/>
      </iconSet>
    </cfRule>
  </conditionalFormatting>
  <conditionalFormatting sqref="V23:V25 N23:N25">
    <cfRule type="iconSet" priority="6370">
      <iconSet iconSet="3Flags">
        <cfvo type="percent" val="0"/>
        <cfvo type="num" val="0" gte="0"/>
        <cfvo type="num" val="1000" gte="0"/>
      </iconSet>
    </cfRule>
  </conditionalFormatting>
  <conditionalFormatting sqref="V76">
    <cfRule type="iconSet" priority="48">
      <iconSet iconSet="3Symbols" showValue="0">
        <cfvo type="percent" val="0"/>
        <cfvo type="num" val="0" gte="0"/>
        <cfvo type="num" val="2"/>
      </iconSet>
    </cfRule>
  </conditionalFormatting>
  <conditionalFormatting sqref="W23:X24">
    <cfRule type="expression" dxfId="2" priority="481">
      <formula>$X23=2</formula>
    </cfRule>
    <cfRule type="expression" dxfId="1" priority="482">
      <formula>($X23=0)</formula>
    </cfRule>
  </conditionalFormatting>
  <conditionalFormatting sqref="X23:X24 P23:P25">
    <cfRule type="iconSet" priority="6379">
      <iconSet iconSet="3Symbols2" showValue="0">
        <cfvo type="percent" val="0"/>
        <cfvo type="num" val="0" gte="0"/>
        <cfvo type="num" val="1" gte="0"/>
      </iconSet>
    </cfRule>
  </conditionalFormatting>
  <conditionalFormatting sqref="X41 N30 R30 X30 X35:X38 N32 R32 X32 R35:R37">
    <cfRule type="iconSet" priority="60">
      <iconSet iconSet="3Symbols" showValue="0">
        <cfvo type="percent" val="0"/>
        <cfvo type="num" val="0" gte="0"/>
        <cfvo type="num" val="2"/>
      </iconSet>
    </cfRule>
  </conditionalFormatting>
  <conditionalFormatting sqref="X51:X55 X49">
    <cfRule type="iconSet" priority="6373">
      <iconSet iconSet="3Symbols" showValue="0">
        <cfvo type="percent" val="0"/>
        <cfvo type="num" val="0" gte="0"/>
        <cfvo type="num" val="2"/>
      </iconSet>
    </cfRule>
  </conditionalFormatting>
  <conditionalFormatting sqref="X72">
    <cfRule type="iconSet" priority="53">
      <iconSet iconSet="3Symbols" showValue="0">
        <cfvo type="percent" val="0"/>
        <cfvo type="num" val="0" gte="0"/>
        <cfvo type="num" val="2"/>
      </iconSet>
    </cfRule>
  </conditionalFormatting>
  <conditionalFormatting sqref="X73">
    <cfRule type="iconSet" priority="46">
      <iconSet iconSet="3Symbols" showValue="0">
        <cfvo type="percent" val="0"/>
        <cfvo type="num" val="0" gte="0"/>
        <cfvo type="num" val="2"/>
      </iconSet>
    </cfRule>
  </conditionalFormatting>
  <conditionalFormatting sqref="X74">
    <cfRule type="iconSet" priority="1">
      <iconSet iconSet="3Symbols" showValue="0">
        <cfvo type="percent" val="0"/>
        <cfvo type="num" val="0" gte="0"/>
        <cfvo type="num" val="2"/>
      </iconSet>
    </cfRule>
  </conditionalFormatting>
  <conditionalFormatting sqref="X76">
    <cfRule type="iconSet" priority="47">
      <iconSet iconSet="3Symbols" showValue="0">
        <cfvo type="percent" val="0"/>
        <cfvo type="num" val="0" gte="0"/>
        <cfvo type="num" val="2"/>
      </iconSet>
    </cfRule>
  </conditionalFormatting>
  <conditionalFormatting sqref="X79">
    <cfRule type="iconSet" priority="41">
      <iconSet iconSet="3Symbols" showValue="0">
        <cfvo type="percent" val="0"/>
        <cfvo type="num" val="0" gte="0"/>
        <cfvo type="num" val="2"/>
      </iconSet>
    </cfRule>
  </conditionalFormatting>
  <conditionalFormatting sqref="X82">
    <cfRule type="iconSet" priority="34">
      <iconSet iconSet="3Symbols" showValue="0">
        <cfvo type="percent" val="0"/>
        <cfvo type="num" val="0" gte="0"/>
        <cfvo type="num" val="2"/>
      </iconSet>
    </cfRule>
  </conditionalFormatting>
  <conditionalFormatting sqref="X91">
    <cfRule type="iconSet" priority="19">
      <iconSet iconSet="3Symbols" showValue="0">
        <cfvo type="percent" val="0"/>
        <cfvo type="num" val="0" gte="0"/>
        <cfvo type="num" val="2"/>
      </iconSet>
    </cfRule>
  </conditionalFormatting>
  <dataValidations xWindow="41" yWindow="456" count="28">
    <dataValidation type="whole" allowBlank="1" showInputMessage="1" showErrorMessage="1" error="Invalid Zip Code Entered" sqref="O64" xr:uid="{6F5201F3-14B1-4F60-B944-A7CD4B3E67C7}">
      <formula1>1</formula1>
      <formula2>99999</formula2>
    </dataValidation>
    <dataValidation type="whole" allowBlank="1" showInputMessage="1" showErrorMessage="1" error="Invalid Zip+4 Entered" sqref="Q64" xr:uid="{FAE5D585-3A7A-42F4-BD99-8E2AD3CEE03C}">
      <formula1>1</formula1>
      <formula2>9999</formula2>
    </dataValidation>
    <dataValidation type="custom" showInputMessage="1" showErrorMessage="1" errorTitle="No Data Entry" error="Field is Read-Only" sqref="H21" xr:uid="{07449A8F-BDE2-44A7-9056-2A1343FF2CF7}">
      <formula1>"&lt;0&gt;0"</formula1>
    </dataValidation>
    <dataValidation type="decimal" operator="greaterThan" allowBlank="1" showInputMessage="1" showErrorMessage="1" error="Must be a numeric value greater than 0" sqref="S35:W37 M79:O79 S94:W97 Q76:S76" xr:uid="{5A2A0804-C73D-4078-BDE1-3F308559280B}">
      <formula1>0</formula1>
    </dataValidation>
    <dataValidation type="list" allowBlank="1" showInputMessage="1" showErrorMessage="1" error="Invalid County" sqref="S64" xr:uid="{639D4AF1-8AD7-4840-A4D8-26738DD1A603}">
      <formula1>IF($M$64&lt;&gt;"",INDIRECT("COUNTY_RANGE_"&amp;$M$64),INDIRECT("RANGE_LOOKUP_COUNTY_PLACEHOLDER"))</formula1>
    </dataValidation>
    <dataValidation type="list" allowBlank="1" showInputMessage="1" showErrorMessage="1" error="Select 'Yes' or 'No'" sqref="W72 W91 W74" xr:uid="{D2E0437B-DCA7-4BE0-9DCE-ED20199D9780}">
      <formula1>RANGE_LOOKUP_YESNO</formula1>
    </dataValidation>
    <dataValidation type="date" operator="greaterThanOrEqual" allowBlank="1" showInputMessage="1" showErrorMessage="1" error="Invalid Date" sqref="U79:W79 Q79:S79" xr:uid="{B9CABD50-3ED7-42A1-A8CD-ED3F9C7F04F0}">
      <formula1>1</formula1>
    </dataValidation>
    <dataValidation type="whole" operator="greaterThanOrEqual" allowBlank="1" showInputMessage="1" showErrorMessage="1" error="Invalid Value" sqref="U52:W52" xr:uid="{AB2206F5-7314-4C5A-9371-416BAD992D93}">
      <formula1>0</formula1>
    </dataValidation>
    <dataValidation type="decimal" allowBlank="1" showInputMessage="1" showErrorMessage="1" error="Must be a numeric value greater than 0" sqref="W76" xr:uid="{32AE2EE4-AE2C-4B07-994B-B44834C0A8B5}">
      <formula1>I89</formula1>
      <formula2>J89</formula2>
    </dataValidation>
    <dataValidation type="list" allowBlank="1" showInputMessage="1" showErrorMessage="1" error="Invalid Mortgage Type" sqref="W73" xr:uid="{AB79EE6B-4EF0-435F-9CDD-93CE8C80FBCD}">
      <formula1>RANGE_LOOKUP_MORTGAGETYPE</formula1>
    </dataValidation>
    <dataValidation type="whole" operator="greaterThan" allowBlank="1" showInputMessage="1" showErrorMessage="1" error="Must be a numeric value greater than 0" sqref="I79:K79" xr:uid="{1CFF9729-7E5C-44BE-B256-B008E3CE3767}">
      <formula1>0</formula1>
    </dataValidation>
    <dataValidation type="textLength" allowBlank="1" showInputMessage="1" showErrorMessage="1" error="Maximum Number of Characters Exceeded" sqref="I30:M30" xr:uid="{B8A8EA53-E9F3-48F5-B9B3-78BDAE726FE2}">
      <formula1>E19</formula1>
      <formula2>F19</formula2>
    </dataValidation>
    <dataValidation type="textLength" allowBlank="1" showInputMessage="1" showErrorMessage="1" error="Maximum Number of Characters Exceeded" sqref="O30:Q30" xr:uid="{31E2DB68-C9F3-4D64-9E66-5D4C64F67B41}">
      <formula1>E20</formula1>
      <formula2>F20</formula2>
    </dataValidation>
    <dataValidation type="textLength" allowBlank="1" showInputMessage="1" showErrorMessage="1" error="Maximum Number of Characters Exceeded" sqref="S30:W30" xr:uid="{839823DD-A1F2-4B66-8768-D8F91E944A32}">
      <formula1>E21</formula1>
      <formula2>F21</formula2>
    </dataValidation>
    <dataValidation type="decimal" operator="greaterThanOrEqual" allowBlank="1" showInputMessage="1" showErrorMessage="1" error="Must be a numeric value" sqref="S41:W41" xr:uid="{24C98E9C-992A-44AB-A03E-59C2E566879E}">
      <formula1>0</formula1>
    </dataValidation>
    <dataValidation type="textLength" allowBlank="1" showInputMessage="1" showErrorMessage="1" error="Maximum Number of Characters Exceeded" sqref="S32:W32" xr:uid="{91752A56-81BB-49DA-A30A-7A0B9D44212C}">
      <formula1>E25</formula1>
      <formula2>F25</formula2>
    </dataValidation>
    <dataValidation type="textLength" allowBlank="1" showInputMessage="1" showErrorMessage="1" error="Maximum Number of Characters Exceeded" sqref="I35:Q37 I32:M32" xr:uid="{0F3BF5D5-E4B7-4CA4-B5E3-CAA140CEF110}">
      <formula1>E23</formula1>
      <formula2>F23</formula2>
    </dataValidation>
    <dataValidation allowBlank="1" showInputMessage="1" showErrorMessage="1" error="Must be a numeric value between 80.01% and 140%" sqref="U55:W55" xr:uid="{4E260155-482E-4F12-A47A-DB1BEDF26922}"/>
    <dataValidation type="textLength" allowBlank="1" showInputMessage="1" showErrorMessage="1" error="Maximum Number of Characters Exceeded" sqref="O32:Q32" xr:uid="{3E137390-139C-442D-9745-B4C4B28494DD}">
      <formula1>E24</formula1>
      <formula2>F24</formula2>
    </dataValidation>
    <dataValidation allowBlank="1" showInputMessage="1" sqref="X38" xr:uid="{4966B39C-AA33-4223-B090-D300900EFDEA}"/>
    <dataValidation type="decimal" operator="greaterThan" allowBlank="1" showInputMessage="1" showErrorMessage="1" error="Must be a numeric value" sqref="U53:W54" xr:uid="{494560D7-D94C-43CC-8655-4029D9D614E1}">
      <formula1>0</formula1>
    </dataValidation>
    <dataValidation type="textLength" allowBlank="1" showInputMessage="1" showErrorMessage="1" error="Maximum Number of Characters Exceeded" sqref="I76" xr:uid="{9720B678-7311-40CA-A24A-12C60E842BBF}">
      <formula1>E83</formula1>
      <formula2>F83</formula2>
    </dataValidation>
    <dataValidation type="decimal" allowBlank="1" showInputMessage="1" showErrorMessage="1" error="Must be a numeric value greater than 0" sqref="U76" xr:uid="{D5AF2874-E581-4015-B8C1-81A65B0DA1A2}">
      <formula1>E85</formula1>
      <formula2>F85</formula2>
    </dataValidation>
    <dataValidation type="decimal" allowBlank="1" showInputMessage="1" showErrorMessage="1" error="Must be a numeric value between 0% and 50.00%" sqref="W82" xr:uid="{12DEB24B-0FF0-4138-B9FF-200F557E0D66}">
      <formula1>E97</formula1>
      <formula2>F97</formula2>
    </dataValidation>
    <dataValidation type="whole" allowBlank="1" showInputMessage="1" showErrorMessage="1" error="Invalid Value" sqref="U51:W51" xr:uid="{75061F5B-E811-46CB-A150-7C621FA4F7FB}">
      <formula1>E48</formula1>
      <formula2>F48</formula2>
    </dataValidation>
    <dataValidation type="textLength" allowBlank="1" showInputMessage="1" showErrorMessage="1" error="Maximum Number of Characters Exceeded" sqref="I62:Q62 I64:K64" xr:uid="{79B3B798-B0E6-468B-A9DE-6FBAE7143A93}">
      <formula1>E65</formula1>
      <formula2>F65</formula2>
    </dataValidation>
    <dataValidation type="textLength" allowBlank="1" showInputMessage="1" showErrorMessage="1" error="Maximum Number of Characters Exceeded" sqref="S62:W62" xr:uid="{0D449218-1A54-45EA-BEF8-31A68FD540EC}">
      <formula1>E66</formula1>
      <formula2>F66</formula2>
    </dataValidation>
    <dataValidation type="textLength" allowBlank="1" showInputMessage="1" showErrorMessage="1" error="Maximum Number of Characters Exceeded" sqref="I94:Q97" xr:uid="{617B6388-5748-41DD-BFF5-A9EB239220F1}">
      <formula1>E120</formula1>
      <formula2>F120</formula2>
    </dataValidation>
  </dataValidations>
  <printOptions horizontalCentered="1"/>
  <pageMargins left="0.25" right="0.25" top="0.5" bottom="0.5" header="0.3" footer="0.2"/>
  <pageSetup scale="90" fitToWidth="0" fitToHeight="0" orientation="portrait" r:id="rId1"/>
  <headerFooter>
    <oddFooter>&amp;L&amp;"Calibri,Regular"&amp;9&amp;K0000FF
Version 4.0.3 (Updated 02/26)
&amp;1#&amp;9FHLBank San Francisco | Confidential&amp;R&amp;8&amp;P of &amp;N</oddFooter>
  </headerFooter>
  <rowBreaks count="2" manualBreakCount="2">
    <brk id="58" min="7" max="24" man="1"/>
    <brk id="87" min="7" max="24" man="1"/>
  </rowBreaks>
  <drawing r:id="rId2"/>
  <extLst>
    <ext xmlns:x14="http://schemas.microsoft.com/office/spreadsheetml/2009/9/main" uri="{CCE6A557-97BC-4b89-ADB6-D9C93CAAB3DF}">
      <x14:dataValidations xmlns:xm="http://schemas.microsoft.com/office/excel/2006/main" xWindow="41" yWindow="456" count="1">
        <x14:dataValidation type="list" showInputMessage="1" showErrorMessage="1" error="Invalid state code selected OR clear selected County before changing state" xr:uid="{D10E4463-CB2F-45D7-9333-F64D771E62A7}">
          <x14:formula1>
            <xm:f>'$DB.LOOKUP'!$D$3:$D$5</xm:f>
          </x14:formula1>
          <xm:sqref>M64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20"/>
  <sheetViews>
    <sheetView showGridLines="0" showRowColHeaders="0" topLeftCell="E1" zoomScaleNormal="100" zoomScaleSheetLayoutView="100" workbookViewId="0">
      <selection activeCell="U51" sqref="U51:W54"/>
    </sheetView>
  </sheetViews>
  <sheetFormatPr defaultColWidth="0" defaultRowHeight="12.5" zeroHeight="1" x14ac:dyDescent="0.25"/>
  <cols>
    <col min="1" max="1" width="2.453125" style="69" customWidth="1"/>
    <col min="2" max="2" width="10.7265625" style="69" customWidth="1"/>
    <col min="3" max="3" width="2.7265625" style="69" customWidth="1"/>
    <col min="4" max="4" width="10.7265625" style="69" customWidth="1"/>
    <col min="5" max="5" width="2.7265625" style="69" customWidth="1"/>
    <col min="6" max="6" width="10.7265625" style="69" customWidth="1"/>
    <col min="7" max="7" width="2.7265625" style="69" customWidth="1"/>
    <col min="8" max="8" width="10.7265625" style="69" customWidth="1"/>
    <col min="9" max="9" width="2.7265625" style="69" customWidth="1"/>
    <col min="10" max="10" width="10.7265625" style="69" customWidth="1"/>
    <col min="11" max="11" width="2.7265625" style="69" customWidth="1"/>
    <col min="12" max="12" width="10.7265625" style="69" customWidth="1"/>
    <col min="13" max="13" width="2.7265625" style="69" customWidth="1"/>
    <col min="14" max="14" width="10.7265625" style="69" customWidth="1"/>
    <col min="15" max="15" width="2.7265625" style="69" customWidth="1"/>
    <col min="16" max="16" width="10.7265625" style="69" customWidth="1"/>
    <col min="17" max="17" width="2.7265625" style="69" customWidth="1"/>
    <col min="18" max="18" width="2.453125" style="69" customWidth="1"/>
    <col min="19" max="20" width="9.1796875" style="69" hidden="1" customWidth="1"/>
    <col min="21" max="21" width="0" style="69" hidden="1" customWidth="1"/>
    <col min="22" max="16384" width="9.1796875" style="69" hidden="1"/>
  </cols>
  <sheetData>
    <row r="1" spans="1:21" ht="40.5" customHeight="1" thickBot="1" x14ac:dyDescent="0.3">
      <c r="A1" s="91"/>
      <c r="B1" s="91"/>
      <c r="C1" s="92"/>
      <c r="D1" s="91"/>
      <c r="E1" s="92"/>
      <c r="F1" s="91"/>
      <c r="G1" s="92"/>
      <c r="H1" s="91"/>
      <c r="I1" s="92"/>
      <c r="J1" s="91"/>
      <c r="K1" s="92"/>
      <c r="L1" s="91"/>
      <c r="M1" s="92"/>
      <c r="N1" s="91"/>
      <c r="O1" s="92"/>
      <c r="P1" s="91"/>
      <c r="Q1" s="92"/>
      <c r="R1" s="91"/>
    </row>
    <row r="2" spans="1:21" ht="21" customHeight="1" x14ac:dyDescent="0.25">
      <c r="A2" s="123" t="s">
        <v>2206</v>
      </c>
      <c r="B2" s="89"/>
      <c r="C2" s="76"/>
      <c r="D2" s="76"/>
      <c r="E2" s="76"/>
      <c r="F2" s="76"/>
      <c r="G2" s="76"/>
      <c r="H2" s="76"/>
      <c r="I2" s="76"/>
      <c r="J2" s="76"/>
      <c r="K2" s="76"/>
      <c r="L2" s="76"/>
      <c r="M2" s="76"/>
      <c r="N2" s="76"/>
      <c r="O2" s="76"/>
      <c r="P2" s="76"/>
      <c r="Q2" s="76"/>
      <c r="R2" s="76"/>
      <c r="T2" s="80"/>
      <c r="U2" s="78"/>
    </row>
    <row r="3" spans="1:21" ht="22" customHeight="1" x14ac:dyDescent="0.25">
      <c r="A3" s="93"/>
    </row>
    <row r="4" spans="1:21" ht="22" customHeight="1" x14ac:dyDescent="0.25"/>
    <row r="5" spans="1:21" ht="22" customHeight="1" thickBot="1" x14ac:dyDescent="0.35">
      <c r="B5" s="94" t="s">
        <v>2207</v>
      </c>
      <c r="C5" s="95"/>
      <c r="D5" s="95"/>
      <c r="E5" s="95"/>
      <c r="F5" s="95"/>
      <c r="G5" s="95"/>
      <c r="H5" s="95"/>
      <c r="I5" s="95"/>
      <c r="J5" s="95"/>
      <c r="K5" s="95"/>
      <c r="L5" s="95"/>
      <c r="M5" s="95"/>
      <c r="N5" s="95"/>
      <c r="O5" s="95"/>
      <c r="P5" s="95"/>
      <c r="Q5" s="95"/>
    </row>
    <row r="6" spans="1:21" ht="22" customHeight="1" x14ac:dyDescent="0.25"/>
    <row r="7" spans="1:21" ht="22" customHeight="1" x14ac:dyDescent="0.3">
      <c r="B7" s="78" t="s">
        <v>2409</v>
      </c>
      <c r="N7" s="232">
        <f>CONFIG_SUBSIDY_MAX_TOTAL</f>
        <v>50000</v>
      </c>
      <c r="O7" s="233"/>
      <c r="P7" s="234"/>
      <c r="Q7" s="96"/>
      <c r="T7" s="108"/>
    </row>
    <row r="8" spans="1:21" ht="22" customHeight="1" x14ac:dyDescent="0.25">
      <c r="B8" s="78" t="s">
        <v>2410</v>
      </c>
      <c r="N8" s="235">
        <v>10</v>
      </c>
      <c r="O8" s="236"/>
      <c r="P8" s="237"/>
      <c r="Q8" s="96"/>
    </row>
    <row r="9" spans="1:21" ht="22" customHeight="1" x14ac:dyDescent="0.25">
      <c r="B9" s="78" t="s">
        <v>2414</v>
      </c>
      <c r="N9" s="235">
        <v>5</v>
      </c>
      <c r="O9" s="236"/>
      <c r="P9" s="237"/>
      <c r="Q9" s="96"/>
    </row>
    <row r="10" spans="1:21" ht="22" customHeight="1" x14ac:dyDescent="0.25">
      <c r="B10" s="78" t="s">
        <v>2413</v>
      </c>
      <c r="N10" s="235">
        <v>1</v>
      </c>
      <c r="O10" s="236"/>
      <c r="P10" s="237"/>
      <c r="Q10" s="96"/>
    </row>
    <row r="11" spans="1:21" ht="22" customHeight="1" x14ac:dyDescent="0.25">
      <c r="B11" s="78" t="s">
        <v>2466</v>
      </c>
      <c r="N11" s="229">
        <v>0.8</v>
      </c>
      <c r="O11" s="230"/>
      <c r="P11" s="231"/>
      <c r="Q11" s="96"/>
    </row>
    <row r="12" spans="1:21" ht="22" customHeight="1" x14ac:dyDescent="0.3">
      <c r="B12" s="78" t="s">
        <v>2417</v>
      </c>
      <c r="N12" s="229">
        <v>1.4</v>
      </c>
      <c r="O12" s="230"/>
      <c r="P12" s="231"/>
      <c r="Q12" s="96"/>
      <c r="T12" s="108"/>
    </row>
    <row r="13" spans="1:21" ht="22" customHeight="1" x14ac:dyDescent="0.25">
      <c r="B13" s="78" t="s">
        <v>2416</v>
      </c>
      <c r="N13" s="226">
        <v>1</v>
      </c>
      <c r="O13" s="227"/>
      <c r="P13" s="228"/>
      <c r="Q13" s="96"/>
    </row>
    <row r="14" spans="1:21" ht="22" customHeight="1" x14ac:dyDescent="0.25">
      <c r="B14" s="78" t="s">
        <v>2418</v>
      </c>
      <c r="N14" s="226">
        <v>1</v>
      </c>
      <c r="O14" s="227"/>
      <c r="P14" s="228"/>
      <c r="Q14" s="96"/>
    </row>
    <row r="15" spans="1:21" ht="22" customHeight="1" x14ac:dyDescent="0.3">
      <c r="B15" s="78" t="s">
        <v>2419</v>
      </c>
      <c r="N15" s="229">
        <v>0.5</v>
      </c>
      <c r="O15" s="230"/>
      <c r="P15" s="231"/>
      <c r="Q15" s="96"/>
      <c r="T15" s="108"/>
    </row>
    <row r="16" spans="1:21" ht="22" customHeight="1" x14ac:dyDescent="0.3">
      <c r="B16" s="78" t="s">
        <v>2340</v>
      </c>
      <c r="N16" s="226">
        <v>5.0000000000000001E-3</v>
      </c>
      <c r="O16" s="227"/>
      <c r="P16" s="228"/>
      <c r="Q16" s="96"/>
      <c r="T16" s="108"/>
    </row>
    <row r="17" spans="2:17" ht="22" customHeight="1" x14ac:dyDescent="0.25">
      <c r="Q17" s="96"/>
    </row>
    <row r="18" spans="2:17" ht="22" customHeight="1" x14ac:dyDescent="0.25">
      <c r="B18" s="97" t="s">
        <v>2415</v>
      </c>
    </row>
    <row r="19" spans="2:17" ht="22" customHeight="1" x14ac:dyDescent="0.25"/>
    <row r="20" spans="2:17" ht="22" hidden="1" customHeight="1" x14ac:dyDescent="0.25"/>
  </sheetData>
  <sheetProtection algorithmName="SHA-512" hashValue="SfBNNiCm4wA/lfh+8E1WPZ22a8Xcna/PpIOsAjm1/jxpSvuIjb0jefGMe1rdZ9jCJNuoidsDREJxRAnquLhXcA==" saltValue="GHu2uMbap3srGa9CctQNag==" spinCount="100000" sheet="1" selectLockedCells="1"/>
  <dataConsolidate/>
  <mergeCells count="10">
    <mergeCell ref="N13:P13"/>
    <mergeCell ref="N14:P14"/>
    <mergeCell ref="N15:P15"/>
    <mergeCell ref="N16:P16"/>
    <mergeCell ref="N7:P7"/>
    <mergeCell ref="N8:P8"/>
    <mergeCell ref="N10:P10"/>
    <mergeCell ref="N9:P9"/>
    <mergeCell ref="N12:P12"/>
    <mergeCell ref="N11:P11"/>
  </mergeCells>
  <dataValidations count="3">
    <dataValidation type="decimal" allowBlank="1" showInputMessage="1" showErrorMessage="1" sqref="N7" xr:uid="{00000000-0002-0000-0300-000000000000}">
      <formula1>0</formula1>
      <formula2>999999999999</formula2>
    </dataValidation>
    <dataValidation type="whole" operator="greaterThanOrEqual" allowBlank="1" showInputMessage="1" showErrorMessage="1" sqref="N8:P10" xr:uid="{00000000-0002-0000-0300-000001000000}">
      <formula1>0</formula1>
    </dataValidation>
    <dataValidation type="decimal" operator="greaterThanOrEqual" allowBlank="1" showInputMessage="1" showErrorMessage="1" sqref="N11:P16" xr:uid="{00000000-0002-0000-0300-000002000000}">
      <formula1>0</formula1>
    </dataValidation>
  </dataValidations>
  <pageMargins left="0.7" right="0.7" top="0.75" bottom="0.75" header="0.3" footer="0.3"/>
  <pageSetup scale="75" orientation="portrait" r:id="rId1"/>
  <headerFooter>
    <oddFooter>&amp;R&amp;9&amp;P of &amp;N&amp;L&amp;1#&amp;"Calibri"&amp;9&amp;K0000FFFHLBank San Francisco | Confidential</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99"/>
  <sheetViews>
    <sheetView workbookViewId="0">
      <pane xSplit="4" ySplit="2" topLeftCell="I33" activePane="bottomRight" state="frozen"/>
      <selection activeCell="U51" sqref="U51:W54"/>
      <selection pane="topRight" activeCell="U51" sqref="U51:W54"/>
      <selection pane="bottomLeft" activeCell="U51" sqref="U51:W54"/>
      <selection pane="bottomRight" activeCell="U51" sqref="U51:W54"/>
    </sheetView>
  </sheetViews>
  <sheetFormatPr defaultColWidth="9.1796875" defaultRowHeight="13" x14ac:dyDescent="0.3"/>
  <cols>
    <col min="1" max="1" width="17.1796875" style="1" customWidth="1"/>
    <col min="2" max="2" width="16" style="1" customWidth="1"/>
    <col min="3" max="3" width="18" style="1" customWidth="1"/>
    <col min="4" max="4" width="37.81640625" style="1" customWidth="1"/>
    <col min="5" max="5" width="16.54296875" style="1" customWidth="1"/>
    <col min="6" max="6" width="16.81640625" style="11" customWidth="1"/>
    <col min="7" max="7" width="54.54296875" style="1" bestFit="1" customWidth="1"/>
    <col min="8" max="8" width="26.54296875" style="1" customWidth="1"/>
    <col min="9" max="9" width="24.1796875" style="2" customWidth="1"/>
    <col min="10" max="10" width="21.26953125" style="2" customWidth="1"/>
    <col min="11" max="11" width="22" style="1" customWidth="1"/>
    <col min="12" max="12" width="19" style="1" customWidth="1"/>
    <col min="13" max="13" width="20.81640625" style="1" customWidth="1"/>
    <col min="14" max="14" width="19" style="1" customWidth="1"/>
    <col min="15" max="15" width="17" style="1" customWidth="1"/>
    <col min="16" max="16" width="20.7265625" style="1" customWidth="1"/>
    <col min="17" max="17" width="16.54296875" style="1" customWidth="1"/>
    <col min="18" max="18" width="20" style="1" bestFit="1" customWidth="1"/>
    <col min="19" max="19" width="20.26953125" style="1" bestFit="1" customWidth="1"/>
    <col min="20" max="20" width="22.26953125" style="1" customWidth="1"/>
    <col min="21" max="21" width="13.7265625" style="1" customWidth="1"/>
    <col min="22" max="22" width="14.54296875" style="1" customWidth="1"/>
    <col min="23" max="23" width="31.453125" style="1" customWidth="1"/>
    <col min="24" max="24" width="31.1796875" style="1" customWidth="1"/>
    <col min="25" max="25" width="32.54296875" style="1" bestFit="1" customWidth="1"/>
    <col min="26" max="26" width="23" style="1" customWidth="1"/>
    <col min="27" max="27" width="13.1796875" style="2" bestFit="1" customWidth="1"/>
    <col min="28" max="28" width="36" style="2" bestFit="1" customWidth="1"/>
    <col min="29" max="29" width="31.7265625" style="1" customWidth="1"/>
    <col min="30" max="16384" width="9.1796875" style="1"/>
  </cols>
  <sheetData>
    <row r="1" spans="1:29" ht="21.75" customHeight="1" x14ac:dyDescent="0.3">
      <c r="A1" s="3" t="s">
        <v>171</v>
      </c>
      <c r="C1" s="4" t="s">
        <v>2230</v>
      </c>
      <c r="G1" s="4"/>
      <c r="H1" s="4" t="s">
        <v>132</v>
      </c>
      <c r="I1" s="4" t="s">
        <v>52</v>
      </c>
      <c r="L1" s="1" t="s">
        <v>53</v>
      </c>
      <c r="M1" s="7" t="s">
        <v>12</v>
      </c>
      <c r="N1" s="4" t="s">
        <v>176</v>
      </c>
      <c r="X1" s="1" t="s">
        <v>172</v>
      </c>
    </row>
    <row r="2" spans="1:29" x14ac:dyDescent="0.3">
      <c r="A2" s="1" t="s">
        <v>2228</v>
      </c>
      <c r="B2" s="1" t="s">
        <v>2229</v>
      </c>
      <c r="C2" s="1" t="s">
        <v>40</v>
      </c>
      <c r="D2" s="1" t="s">
        <v>0</v>
      </c>
      <c r="E2" s="1" t="s">
        <v>138</v>
      </c>
      <c r="F2" s="11" t="s">
        <v>4</v>
      </c>
      <c r="G2" s="1" t="s">
        <v>1</v>
      </c>
      <c r="H2" s="2" t="s">
        <v>2</v>
      </c>
      <c r="I2" s="2" t="s">
        <v>51</v>
      </c>
      <c r="J2" s="2" t="s">
        <v>32</v>
      </c>
      <c r="K2" s="2" t="s">
        <v>43</v>
      </c>
      <c r="L2" s="1" t="s">
        <v>33</v>
      </c>
      <c r="M2" s="2" t="s">
        <v>3</v>
      </c>
      <c r="N2" s="1" t="s">
        <v>17</v>
      </c>
      <c r="O2" s="1" t="s">
        <v>18</v>
      </c>
      <c r="P2" s="1" t="s">
        <v>19</v>
      </c>
      <c r="Q2" s="1" t="s">
        <v>45</v>
      </c>
      <c r="R2" s="1" t="s">
        <v>47</v>
      </c>
      <c r="S2" s="1" t="s">
        <v>110</v>
      </c>
      <c r="T2" s="1" t="s">
        <v>46</v>
      </c>
      <c r="U2" s="1" t="s">
        <v>48</v>
      </c>
      <c r="V2" s="1" t="s">
        <v>49</v>
      </c>
      <c r="W2" s="1" t="s">
        <v>50</v>
      </c>
      <c r="X2" s="1" t="s">
        <v>161</v>
      </c>
      <c r="Y2" s="1" t="s">
        <v>160</v>
      </c>
      <c r="Z2" s="1" t="s">
        <v>185</v>
      </c>
      <c r="AA2" s="29" t="s">
        <v>2176</v>
      </c>
      <c r="AB2" s="29" t="s">
        <v>2175</v>
      </c>
      <c r="AC2" s="13" t="s">
        <v>148</v>
      </c>
    </row>
    <row r="3" spans="1:29" x14ac:dyDescent="0.3">
      <c r="A3" s="9"/>
      <c r="B3" s="9"/>
      <c r="C3" s="9"/>
      <c r="D3" s="9" t="s">
        <v>135</v>
      </c>
      <c r="E3" s="9" t="b">
        <v>0</v>
      </c>
      <c r="F3" s="12" t="b">
        <v>1</v>
      </c>
      <c r="G3" s="10" t="s">
        <v>133</v>
      </c>
      <c r="H3" s="14" t="str">
        <f>UPPER("NOTUSED")</f>
        <v>NOTUSED</v>
      </c>
      <c r="I3" s="10"/>
      <c r="J3" s="10" t="b">
        <f>(DB_TBL_DATA_FIELDS[[#This Row],[FIELD_VALUE_RAW]]="")</f>
        <v>0</v>
      </c>
      <c r="K3" s="10" t="s">
        <v>11</v>
      </c>
      <c r="L3" s="9" t="b">
        <f>AND(IF(DB_TBL_DATA_FIELDS[[#This Row],[FIELD_VALID_CUSTOM_LOGIC]]="",TRUE,DB_TBL_DATA_FIELDS[[#This Row],[FIELD_VALID_CUSTOM_LOGIC]]),DB_TBL_DATA_FIELDS[[#This Row],[RANGE_VALIDATION_PASSED_FLAG]])</f>
        <v>1</v>
      </c>
      <c r="M3" s="10" t="str">
        <f>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NOTUSED</v>
      </c>
      <c r="N3" s="9" t="str">
        <f>IF(DB_TBL_DATA_FIELDS[[#This Row],[SHEET_REF_CALC]]="","",IF(DB_TBL_DATA_FIELDS[[#This Row],[FIELD_EMPTY_FLAG]],IF(NOT(DB_TBL_DATA_FIELDS[[#This Row],[FIELD_REQ_FLAG]]),-1,1),IF(NOT(DB_TBL_DATA_FIELDS[[#This Row],[FIELD_VALID_FLAG]]),0,2)))</f>
        <v/>
      </c>
      <c r="O3" s="9" t="str">
        <f>IFERROR(VLOOKUP(DB_TBL_DATA_FIELDS[[#This Row],[FIELD_STATUS_CODE]],DB_TBL_CONFIG_FIELDSTATUSCODES[#All],3,FALSE),"")</f>
        <v/>
      </c>
      <c r="P3" s="9" t="str">
        <f>IFERROR(VLOOKUP(DB_TBL_DATA_FIELDS[[#This Row],[FIELD_STATUS_CODE]],DB_TBL_CONFIG_FIELDSTATUSCODES[#All],4,FALSE),"")</f>
        <v/>
      </c>
      <c r="Q3" s="1" t="b">
        <v>1</v>
      </c>
      <c r="R3" s="9" t="b">
        <v>1</v>
      </c>
      <c r="S3" s="9" t="s">
        <v>11</v>
      </c>
      <c r="T3" s="1">
        <f>IF(DB_TBL_DATA_FIELDS[[#This Row],[RANGE_VALIDATION_FLAG]]="Text",LEN(DB_TBL_DATA_FIELDS[[#This Row],[FIELD_VALUE_RAW]]),IFERROR(VALUE(DB_TBL_DATA_FIELDS[[#This Row],[FIELD_VALUE_RAW]]),-1))</f>
        <v>7</v>
      </c>
      <c r="U3" s="9">
        <v>1</v>
      </c>
      <c r="V3" s="9">
        <v>20</v>
      </c>
      <c r="W3" s="9" t="b">
        <f>IF(NOT(DB_TBL_DATA_FIELDS[[#This Row],[RANGE_VALIDATION_ON_FLAG]]),TRUE,
AND(DB_TBL_DATA_FIELDS[[#This Row],[RANGE_VALUE_LEN]]&gt;=DB_TBL_DATA_FIELDS[[#This Row],[RANGE_VALIDATION_MIN]],DB_TBL_DATA_FIELDS[[#This Row],[RANGE_VALUE_LEN]]&lt;=DB_TBL_DATA_FIELDS[[#This Row],[RANGE_VALIDATION_MAX]]))</f>
        <v>1</v>
      </c>
      <c r="X3" s="9">
        <v>0</v>
      </c>
      <c r="Y3" s="9" t="str">
        <f>IF(DB_TBL_DATA_FIELDS[[#This Row],[PCT_CALC_SHOW_STATUS_CODE]]=1,
DB_TBL_DATA_FIELDS[[#This Row],[FIELD_STATUS_CODE]],
IF(AND(DB_TBL_DATA_FIELDS[[#This Row],[PCT_CALC_SHOW_STATUS_CODE]]=2,DB_TBL_DATA_FIELDS[[#This Row],[FIELD_STATUS_CODE]]=0),
DB_TBL_DATA_FIELDS[[#This Row],[FIELD_STATUS_CODE]],
"")
)</f>
        <v/>
      </c>
      <c r="Z3" s="9"/>
      <c r="AA3" s="2" t="s">
        <v>147</v>
      </c>
    </row>
    <row r="4" spans="1:29" x14ac:dyDescent="0.3">
      <c r="C4" s="9"/>
      <c r="D4" s="1" t="s">
        <v>111</v>
      </c>
      <c r="E4" s="1" t="b">
        <v>0</v>
      </c>
      <c r="F4" s="11" t="b">
        <v>0</v>
      </c>
      <c r="G4" s="2" t="s">
        <v>174</v>
      </c>
      <c r="H4" s="14">
        <f ca="1">COUNTIF(DB_TBL_DATA_FIELDS[PCT_CALC_FIELD_STATUS_CODE],2)</f>
        <v>0</v>
      </c>
      <c r="J4" s="2" t="b">
        <f ca="1">(DB_TBL_DATA_FIELDS[[#This Row],[FIELD_VALUE_RAW]]="")</f>
        <v>0</v>
      </c>
      <c r="K4" s="2" t="s">
        <v>42</v>
      </c>
      <c r="L4" s="1" t="b">
        <f>AND(IF(DB_TBL_DATA_FIELDS[[#This Row],[FIELD_VALID_CUSTOM_LOGIC]]="",TRUE,DB_TBL_DATA_FIELDS[[#This Row],[FIELD_VALID_CUSTOM_LOGIC]]),DB_TBL_DATA_FIELDS[[#This Row],[RANGE_VALIDATION_PASSED_FLAG]])</f>
        <v>1</v>
      </c>
      <c r="M4" s="2">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0</v>
      </c>
      <c r="N4" s="1" t="str">
        <f>IF(DB_TBL_DATA_FIELDS[[#This Row],[SHEET_REF_CALC]]="","",IF(DB_TBL_DATA_FIELDS[[#This Row],[FIELD_EMPTY_FLAG]],IF(NOT(DB_TBL_DATA_FIELDS[[#This Row],[FIELD_REQ_FLAG]]),-1,1),IF(NOT(DB_TBL_DATA_FIELDS[[#This Row],[FIELD_VALID_FLAG]]),0,2)))</f>
        <v/>
      </c>
      <c r="O4" s="1" t="str">
        <f>IFERROR(VLOOKUP(DB_TBL_DATA_FIELDS[[#This Row],[FIELD_STATUS_CODE]],DB_TBL_CONFIG_FIELDSTATUSCODES[#All],3,FALSE),"")</f>
        <v/>
      </c>
      <c r="P4" s="1" t="str">
        <f>IFERROR(VLOOKUP(DB_TBL_DATA_FIELDS[[#This Row],[FIELD_STATUS_CODE]],DB_TBL_CONFIG_FIELDSTATUSCODES[#All],4,FALSE),"")</f>
        <v/>
      </c>
      <c r="Q4" s="1" t="b">
        <f>TRUE</f>
        <v>1</v>
      </c>
      <c r="R4" s="1" t="b">
        <v>0</v>
      </c>
      <c r="T4" s="1">
        <f ca="1">IF(DB_TBL_DATA_FIELDS[[#This Row],[RANGE_VALIDATION_FLAG]]="Text",LEN(DB_TBL_DATA_FIELDS[[#This Row],[FIELD_VALUE_RAW]]),IFERROR(VALUE(DB_TBL_DATA_FIELDS[[#This Row],[FIELD_VALUE_RAW]]),-1))</f>
        <v>0</v>
      </c>
      <c r="W4" s="1" t="b">
        <f>IF(NOT(DB_TBL_DATA_FIELDS[[#This Row],[RANGE_VALIDATION_ON_FLAG]]),TRUE,
AND(DB_TBL_DATA_FIELDS[[#This Row],[RANGE_VALUE_LEN]]&gt;=DB_TBL_DATA_FIELDS[[#This Row],[RANGE_VALIDATION_MIN]],DB_TBL_DATA_FIELDS[[#This Row],[RANGE_VALUE_LEN]]&lt;=DB_TBL_DATA_FIELDS[[#This Row],[RANGE_VALIDATION_MAX]]))</f>
        <v>1</v>
      </c>
      <c r="X4" s="9">
        <v>0</v>
      </c>
      <c r="Y4" s="9" t="str">
        <f>IF(DB_TBL_DATA_FIELDS[[#This Row],[PCT_CALC_SHOW_STATUS_CODE]]=1,
DB_TBL_DATA_FIELDS[[#This Row],[FIELD_STATUS_CODE]],
IF(AND(DB_TBL_DATA_FIELDS[[#This Row],[PCT_CALC_SHOW_STATUS_CODE]]=2,DB_TBL_DATA_FIELDS[[#This Row],[FIELD_STATUS_CODE]]=0),
DB_TBL_DATA_FIELDS[[#This Row],[FIELD_STATUS_CODE]],
"")
)</f>
        <v/>
      </c>
      <c r="Z4" s="9"/>
      <c r="AA4" s="2" t="s">
        <v>147</v>
      </c>
    </row>
    <row r="5" spans="1:29" x14ac:dyDescent="0.3">
      <c r="C5" s="9"/>
      <c r="D5" s="1" t="s">
        <v>112</v>
      </c>
      <c r="E5" s="1" t="b">
        <v>0</v>
      </c>
      <c r="F5" s="11" t="b">
        <v>0</v>
      </c>
      <c r="G5" s="2" t="s">
        <v>173</v>
      </c>
      <c r="H5" s="14">
        <f ca="1">COUNTIF(DB_TBL_DATA_FIELDS[PCT_CALC_FIELD_STATUS_CODE],0)+COUNTIF(DB_TBL_DATA_FIELDS[PCT_CALC_FIELD_STATUS_CODE],1)+COUNTIF(DB_TBL_DATA_FIELDS[PCT_CALC_FIELD_STATUS_CODE],2)</f>
        <v>28</v>
      </c>
      <c r="J5" s="2" t="b">
        <f ca="1">(DB_TBL_DATA_FIELDS[[#This Row],[FIELD_VALUE_RAW]]="")</f>
        <v>0</v>
      </c>
      <c r="K5" s="2" t="s">
        <v>42</v>
      </c>
      <c r="L5" s="1" t="b">
        <f>AND(IF(DB_TBL_DATA_FIELDS[[#This Row],[FIELD_VALID_CUSTOM_LOGIC]]="",TRUE,DB_TBL_DATA_FIELDS[[#This Row],[FIELD_VALID_CUSTOM_LOGIC]]),DB_TBL_DATA_FIELDS[[#This Row],[RANGE_VALIDATION_PASSED_FLAG]])</f>
        <v>1</v>
      </c>
      <c r="M5" s="2">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28</v>
      </c>
      <c r="N5" s="1" t="str">
        <f>IF(DB_TBL_DATA_FIELDS[[#This Row],[SHEET_REF_CALC]]="","",IF(DB_TBL_DATA_FIELDS[[#This Row],[FIELD_EMPTY_FLAG]],IF(NOT(DB_TBL_DATA_FIELDS[[#This Row],[FIELD_REQ_FLAG]]),-1,1),IF(NOT(DB_TBL_DATA_FIELDS[[#This Row],[FIELD_VALID_FLAG]]),0,2)))</f>
        <v/>
      </c>
      <c r="O5" s="1" t="str">
        <f>IFERROR(VLOOKUP(DB_TBL_DATA_FIELDS[[#This Row],[FIELD_STATUS_CODE]],DB_TBL_CONFIG_FIELDSTATUSCODES[#All],3,FALSE),"")</f>
        <v/>
      </c>
      <c r="P5" s="1" t="str">
        <f>IFERROR(VLOOKUP(DB_TBL_DATA_FIELDS[[#This Row],[FIELD_STATUS_CODE]],DB_TBL_CONFIG_FIELDSTATUSCODES[#All],4,FALSE),"")</f>
        <v/>
      </c>
      <c r="Q5" s="1" t="b">
        <f>TRUE</f>
        <v>1</v>
      </c>
      <c r="R5" s="1" t="b">
        <v>0</v>
      </c>
      <c r="T5" s="1">
        <f ca="1">IF(DB_TBL_DATA_FIELDS[[#This Row],[RANGE_VALIDATION_FLAG]]="Text",LEN(DB_TBL_DATA_FIELDS[[#This Row],[FIELD_VALUE_RAW]]),IFERROR(VALUE(DB_TBL_DATA_FIELDS[[#This Row],[FIELD_VALUE_RAW]]),-1))</f>
        <v>28</v>
      </c>
      <c r="W5" s="1" t="b">
        <f>IF(NOT(DB_TBL_DATA_FIELDS[[#This Row],[RANGE_VALIDATION_ON_FLAG]]),TRUE,
AND(DB_TBL_DATA_FIELDS[[#This Row],[RANGE_VALUE_LEN]]&gt;=DB_TBL_DATA_FIELDS[[#This Row],[RANGE_VALIDATION_MIN]],DB_TBL_DATA_FIELDS[[#This Row],[RANGE_VALUE_LEN]]&lt;=DB_TBL_DATA_FIELDS[[#This Row],[RANGE_VALIDATION_MAX]]))</f>
        <v>1</v>
      </c>
      <c r="X5" s="9">
        <v>0</v>
      </c>
      <c r="Y5" s="9" t="str">
        <f>IF(DB_TBL_DATA_FIELDS[[#This Row],[PCT_CALC_SHOW_STATUS_CODE]]=1,
DB_TBL_DATA_FIELDS[[#This Row],[FIELD_STATUS_CODE]],
IF(AND(DB_TBL_DATA_FIELDS[[#This Row],[PCT_CALC_SHOW_STATUS_CODE]]=2,DB_TBL_DATA_FIELDS[[#This Row],[FIELD_STATUS_CODE]]=0),
DB_TBL_DATA_FIELDS[[#This Row],[FIELD_STATUS_CODE]],
"")
)</f>
        <v/>
      </c>
      <c r="Z5" s="9"/>
      <c r="AA5" s="2" t="s">
        <v>147</v>
      </c>
    </row>
    <row r="6" spans="1:29" x14ac:dyDescent="0.3">
      <c r="C6" s="9"/>
      <c r="D6" s="1" t="s">
        <v>113</v>
      </c>
      <c r="E6" s="1" t="b">
        <v>0</v>
      </c>
      <c r="F6" s="11" t="b">
        <v>0</v>
      </c>
      <c r="G6" s="2" t="s">
        <v>141</v>
      </c>
      <c r="H6" s="14">
        <f ca="1">COUNTIF(DB_TBL_DATA_FIELDS[FIELD_STATUS_CODE],0)</f>
        <v>0</v>
      </c>
      <c r="J6" s="2" t="b">
        <f ca="1">(DB_TBL_DATA_FIELDS[[#This Row],[FIELD_VALUE_RAW]]="")</f>
        <v>0</v>
      </c>
      <c r="K6" s="2" t="s">
        <v>42</v>
      </c>
      <c r="L6" s="1" t="b">
        <f>AND(IF(DB_TBL_DATA_FIELDS[[#This Row],[FIELD_VALID_CUSTOM_LOGIC]]="",TRUE,DB_TBL_DATA_FIELDS[[#This Row],[FIELD_VALID_CUSTOM_LOGIC]]),DB_TBL_DATA_FIELDS[[#This Row],[RANGE_VALIDATION_PASSED_FLAG]])</f>
        <v>1</v>
      </c>
      <c r="M6" s="2">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0</v>
      </c>
      <c r="N6" s="1" t="str">
        <f>IF(DB_TBL_DATA_FIELDS[[#This Row],[SHEET_REF_CALC]]="","",IF(DB_TBL_DATA_FIELDS[[#This Row],[FIELD_EMPTY_FLAG]],IF(NOT(DB_TBL_DATA_FIELDS[[#This Row],[FIELD_REQ_FLAG]]),-1,1),IF(NOT(DB_TBL_DATA_FIELDS[[#This Row],[FIELD_VALID_FLAG]]),0,2)))</f>
        <v/>
      </c>
      <c r="O6" s="1" t="str">
        <f>IFERROR(VLOOKUP(DB_TBL_DATA_FIELDS[[#This Row],[FIELD_STATUS_CODE]],DB_TBL_CONFIG_FIELDSTATUSCODES[#All],3,FALSE),"")</f>
        <v/>
      </c>
      <c r="P6" s="1" t="str">
        <f>IFERROR(VLOOKUP(DB_TBL_DATA_FIELDS[[#This Row],[FIELD_STATUS_CODE]],DB_TBL_CONFIG_FIELDSTATUSCODES[#All],4,FALSE),"")</f>
        <v/>
      </c>
      <c r="Q6" s="1" t="b">
        <f>TRUE</f>
        <v>1</v>
      </c>
      <c r="R6" s="1" t="b">
        <v>0</v>
      </c>
      <c r="T6" s="1">
        <f ca="1">IF(DB_TBL_DATA_FIELDS[[#This Row],[RANGE_VALIDATION_FLAG]]="Text",LEN(DB_TBL_DATA_FIELDS[[#This Row],[FIELD_VALUE_RAW]]),IFERROR(VALUE(DB_TBL_DATA_FIELDS[[#This Row],[FIELD_VALUE_RAW]]),-1))</f>
        <v>0</v>
      </c>
      <c r="W6" s="1" t="b">
        <f>IF(NOT(DB_TBL_DATA_FIELDS[[#This Row],[RANGE_VALIDATION_ON_FLAG]]),TRUE,
AND(DB_TBL_DATA_FIELDS[[#This Row],[RANGE_VALUE_LEN]]&gt;=DB_TBL_DATA_FIELDS[[#This Row],[RANGE_VALIDATION_MIN]],DB_TBL_DATA_FIELDS[[#This Row],[RANGE_VALUE_LEN]]&lt;=DB_TBL_DATA_FIELDS[[#This Row],[RANGE_VALIDATION_MAX]]))</f>
        <v>1</v>
      </c>
      <c r="X6" s="9">
        <v>0</v>
      </c>
      <c r="Y6" s="9" t="str">
        <f>IF(DB_TBL_DATA_FIELDS[[#This Row],[PCT_CALC_SHOW_STATUS_CODE]]=1,
DB_TBL_DATA_FIELDS[[#This Row],[FIELD_STATUS_CODE]],
IF(AND(DB_TBL_DATA_FIELDS[[#This Row],[PCT_CALC_SHOW_STATUS_CODE]]=2,DB_TBL_DATA_FIELDS[[#This Row],[FIELD_STATUS_CODE]]=0),
DB_TBL_DATA_FIELDS[[#This Row],[FIELD_STATUS_CODE]],
"")
)</f>
        <v/>
      </c>
      <c r="Z6" s="9"/>
      <c r="AA6" s="2" t="s">
        <v>147</v>
      </c>
    </row>
    <row r="7" spans="1:29" x14ac:dyDescent="0.3">
      <c r="C7" s="9"/>
      <c r="D7" s="1" t="s">
        <v>143</v>
      </c>
      <c r="E7" s="1" t="b">
        <v>0</v>
      </c>
      <c r="F7" s="11" t="b">
        <v>0</v>
      </c>
      <c r="G7" s="2" t="s">
        <v>142</v>
      </c>
      <c r="H7" s="14">
        <f ca="1">H4/H5</f>
        <v>0</v>
      </c>
      <c r="J7" s="2" t="b">
        <f ca="1">(DB_TBL_DATA_FIELDS[[#This Row],[FIELD_VALUE_RAW]]="")</f>
        <v>0</v>
      </c>
      <c r="K7" s="2" t="s">
        <v>42</v>
      </c>
      <c r="L7" s="1" t="b">
        <f>AND(IF(DB_TBL_DATA_FIELDS[[#This Row],[FIELD_VALID_CUSTOM_LOGIC]]="",TRUE,DB_TBL_DATA_FIELDS[[#This Row],[FIELD_VALID_CUSTOM_LOGIC]]),DB_TBL_DATA_FIELDS[[#This Row],[RANGE_VALIDATION_PASSED_FLAG]])</f>
        <v>1</v>
      </c>
      <c r="M7" s="2">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0</v>
      </c>
      <c r="N7" s="1" t="str">
        <f>IF(DB_TBL_DATA_FIELDS[[#This Row],[SHEET_REF_CALC]]="","",IF(DB_TBL_DATA_FIELDS[[#This Row],[FIELD_EMPTY_FLAG]],IF(NOT(DB_TBL_DATA_FIELDS[[#This Row],[FIELD_REQ_FLAG]]),-1,1),IF(NOT(DB_TBL_DATA_FIELDS[[#This Row],[FIELD_VALID_FLAG]]),0,2)))</f>
        <v/>
      </c>
      <c r="O7" s="1" t="str">
        <f>IFERROR(VLOOKUP(DB_TBL_DATA_FIELDS[[#This Row],[FIELD_STATUS_CODE]],DB_TBL_CONFIG_FIELDSTATUSCODES[#All],3,FALSE),"")</f>
        <v/>
      </c>
      <c r="P7" s="1" t="str">
        <f>IFERROR(VLOOKUP(DB_TBL_DATA_FIELDS[[#This Row],[FIELD_STATUS_CODE]],DB_TBL_CONFIG_FIELDSTATUSCODES[#All],4,FALSE),"")</f>
        <v/>
      </c>
      <c r="Q7" s="1" t="b">
        <f>TRUE</f>
        <v>1</v>
      </c>
      <c r="R7" s="1" t="b">
        <v>0</v>
      </c>
      <c r="T7" s="1">
        <f ca="1">IF(DB_TBL_DATA_FIELDS[[#This Row],[RANGE_VALIDATION_FLAG]]="Text",LEN(DB_TBL_DATA_FIELDS[[#This Row],[FIELD_VALUE_RAW]]),IFERROR(VALUE(DB_TBL_DATA_FIELDS[[#This Row],[FIELD_VALUE_RAW]]),-1))</f>
        <v>0</v>
      </c>
      <c r="W7" s="1" t="b">
        <f>IF(NOT(DB_TBL_DATA_FIELDS[[#This Row],[RANGE_VALIDATION_ON_FLAG]]),TRUE,
AND(DB_TBL_DATA_FIELDS[[#This Row],[RANGE_VALUE_LEN]]&gt;=DB_TBL_DATA_FIELDS[[#This Row],[RANGE_VALIDATION_MIN]],DB_TBL_DATA_FIELDS[[#This Row],[RANGE_VALUE_LEN]]&lt;=DB_TBL_DATA_FIELDS[[#This Row],[RANGE_VALIDATION_MAX]]))</f>
        <v>1</v>
      </c>
      <c r="X7" s="9">
        <v>0</v>
      </c>
      <c r="Y7" s="9" t="str">
        <f>IF(DB_TBL_DATA_FIELDS[[#This Row],[PCT_CALC_SHOW_STATUS_CODE]]=1,
DB_TBL_DATA_FIELDS[[#This Row],[FIELD_STATUS_CODE]],
IF(AND(DB_TBL_DATA_FIELDS[[#This Row],[PCT_CALC_SHOW_STATUS_CODE]]=2,DB_TBL_DATA_FIELDS[[#This Row],[FIELD_STATUS_CODE]]=0),
DB_TBL_DATA_FIELDS[[#This Row],[FIELD_STATUS_CODE]],
"")
)</f>
        <v/>
      </c>
      <c r="Z7" s="9"/>
      <c r="AA7" s="2" t="s">
        <v>147</v>
      </c>
    </row>
    <row r="8" spans="1:29" x14ac:dyDescent="0.3">
      <c r="C8" s="9"/>
      <c r="D8" s="1" t="s">
        <v>136</v>
      </c>
      <c r="E8" s="9" t="b">
        <v>1</v>
      </c>
      <c r="F8" s="12" t="b">
        <v>0</v>
      </c>
      <c r="G8" s="10" t="s">
        <v>137</v>
      </c>
      <c r="H8" s="14">
        <f ca="1">IF(H7=1,1,0)</f>
        <v>0</v>
      </c>
      <c r="I8" s="10"/>
      <c r="J8" s="10" t="b">
        <f ca="1">(DB_TBL_DATA_FIELDS[[#This Row],[FIELD_VALUE_RAW]]="")</f>
        <v>0</v>
      </c>
      <c r="K8" s="10" t="s">
        <v>144</v>
      </c>
      <c r="L8" s="9" t="b">
        <f>AND(IF(DB_TBL_DATA_FIELDS[[#This Row],[FIELD_VALID_CUSTOM_LOGIC]]="",TRUE,DB_TBL_DATA_FIELDS[[#This Row],[FIELD_VALID_CUSTOM_LOGIC]]),DB_TBL_DATA_FIELDS[[#This Row],[RANGE_VALIDATION_PASSED_FLAG]])</f>
        <v>1</v>
      </c>
      <c r="M8"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N8" s="9" t="str">
        <f>IF(DB_TBL_DATA_FIELDS[[#This Row],[SHEET_REF_CALC]]="","",IF(DB_TBL_DATA_FIELDS[[#This Row],[FIELD_EMPTY_FLAG]],IF(NOT(DB_TBL_DATA_FIELDS[[#This Row],[FIELD_REQ_FLAG]]),-1,1),IF(NOT(DB_TBL_DATA_FIELDS[[#This Row],[FIELD_VALID_FLAG]]),0,2)))</f>
        <v/>
      </c>
      <c r="O8" s="9" t="str">
        <f>IFERROR(VLOOKUP(DB_TBL_DATA_FIELDS[[#This Row],[FIELD_STATUS_CODE]],DB_TBL_CONFIG_FIELDSTATUSCODES[#All],3,FALSE),"")</f>
        <v/>
      </c>
      <c r="P8" s="9" t="str">
        <f>IFERROR(VLOOKUP(DB_TBL_DATA_FIELDS[[#This Row],[FIELD_STATUS_CODE]],DB_TBL_CONFIG_FIELDSTATUSCODES[#All],4,FALSE),"")</f>
        <v/>
      </c>
      <c r="Q8" s="9" t="b">
        <f>TRUE</f>
        <v>1</v>
      </c>
      <c r="R8" s="9" t="b">
        <v>0</v>
      </c>
      <c r="S8" s="9"/>
      <c r="T8" s="9">
        <f ca="1">IF(DB_TBL_DATA_FIELDS[[#This Row],[RANGE_VALIDATION_FLAG]]="Text",LEN(DB_TBL_DATA_FIELDS[[#This Row],[FIELD_VALUE_RAW]]),IFERROR(VALUE(DB_TBL_DATA_FIELDS[[#This Row],[FIELD_VALUE_RAW]]),-1))</f>
        <v>0</v>
      </c>
      <c r="U8" s="9">
        <v>0</v>
      </c>
      <c r="V8" s="9">
        <v>1</v>
      </c>
      <c r="W8" s="9" t="b">
        <f>IF(NOT(DB_TBL_DATA_FIELDS[[#This Row],[RANGE_VALIDATION_ON_FLAG]]),TRUE,
AND(DB_TBL_DATA_FIELDS[[#This Row],[RANGE_VALUE_LEN]]&gt;=DB_TBL_DATA_FIELDS[[#This Row],[RANGE_VALIDATION_MIN]],DB_TBL_DATA_FIELDS[[#This Row],[RANGE_VALUE_LEN]]&lt;=DB_TBL_DATA_FIELDS[[#This Row],[RANGE_VALIDATION_MAX]]))</f>
        <v>1</v>
      </c>
      <c r="X8" s="9">
        <v>0</v>
      </c>
      <c r="Y8" s="9" t="str">
        <f>IF(DB_TBL_DATA_FIELDS[[#This Row],[PCT_CALC_SHOW_STATUS_CODE]]=1,
DB_TBL_DATA_FIELDS[[#This Row],[FIELD_STATUS_CODE]],
IF(AND(DB_TBL_DATA_FIELDS[[#This Row],[PCT_CALC_SHOW_STATUS_CODE]]=2,DB_TBL_DATA_FIELDS[[#This Row],[FIELD_STATUS_CODE]]=0),
DB_TBL_DATA_FIELDS[[#This Row],[FIELD_STATUS_CODE]],
"")
)</f>
        <v/>
      </c>
      <c r="Z8" s="9"/>
      <c r="AA8" s="2" t="s">
        <v>147</v>
      </c>
    </row>
    <row r="9" spans="1:29" ht="13.5" thickBot="1" x14ac:dyDescent="0.35">
      <c r="A9" s="30"/>
      <c r="B9" s="30"/>
      <c r="C9" s="30"/>
      <c r="D9" s="30" t="s">
        <v>10</v>
      </c>
      <c r="E9" s="31" t="b">
        <v>1</v>
      </c>
      <c r="F9" s="32" t="b">
        <v>1</v>
      </c>
      <c r="G9" s="33" t="s">
        <v>9</v>
      </c>
      <c r="H9" s="134" t="str">
        <f>LOOKUP_APPTYPE_WISH</f>
        <v>W</v>
      </c>
      <c r="I9" s="34" t="b">
        <f>OR(DB_TBL_DATA_FIELDS[[#This Row],[FIELD_VALUE_RAW]]="W",DB_TBL_DATA_FIELDS[[#This Row],[FIELD_VALUE_RAW]]="I")</f>
        <v>1</v>
      </c>
      <c r="J9" s="33" t="b">
        <f>(DB_TBL_DATA_FIELDS[[#This Row],[FIELD_VALUE_RAW]]="")</f>
        <v>0</v>
      </c>
      <c r="K9" s="33" t="s">
        <v>11</v>
      </c>
      <c r="L9" s="30" t="b">
        <f>AND(IF(DB_TBL_DATA_FIELDS[[#This Row],[FIELD_VALID_CUSTOM_LOGIC]]="",TRUE,DB_TBL_DATA_FIELDS[[#This Row],[FIELD_VALID_CUSTOM_LOGIC]]),DB_TBL_DATA_FIELDS[[#This Row],[RANGE_VALIDATION_PASSED_FLAG]])</f>
        <v>1</v>
      </c>
      <c r="M9" s="33" t="str">
        <f>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W</v>
      </c>
      <c r="N9" s="30" t="str">
        <f>IF(DB_TBL_DATA_FIELDS[[#This Row],[SHEET_REF_CALC]]="","",IF(DB_TBL_DATA_FIELDS[[#This Row],[FIELD_EMPTY_FLAG]],IF(NOT(DB_TBL_DATA_FIELDS[[#This Row],[FIELD_REQ_FLAG]]),-1,1),IF(NOT(DB_TBL_DATA_FIELDS[[#This Row],[FIELD_VALID_FLAG]]),0,2)))</f>
        <v/>
      </c>
      <c r="O9" s="30" t="str">
        <f>IFERROR(VLOOKUP(DB_TBL_DATA_FIELDS[[#This Row],[FIELD_STATUS_CODE]],DB_TBL_CONFIG_FIELDSTATUSCODES[#All],3,FALSE),"")</f>
        <v/>
      </c>
      <c r="P9" s="30" t="str">
        <f>IFERROR(VLOOKUP(DB_TBL_DATA_FIELDS[[#This Row],[FIELD_STATUS_CODE]],DB_TBL_CONFIG_FIELDSTATUSCODES[#All],4,FALSE),"")</f>
        <v/>
      </c>
      <c r="Q9" s="30" t="b">
        <v>1</v>
      </c>
      <c r="R9" s="30" t="b">
        <f>TRUE</f>
        <v>1</v>
      </c>
      <c r="S9" s="30" t="s">
        <v>11</v>
      </c>
      <c r="T9" s="30">
        <f>IF(DB_TBL_DATA_FIELDS[[#This Row],[RANGE_VALIDATION_FLAG]]="Text",LEN(DB_TBL_DATA_FIELDS[[#This Row],[FIELD_VALUE_RAW]]),IFERROR(VALUE(DB_TBL_DATA_FIELDS[[#This Row],[FIELD_VALUE_RAW]]),-1))</f>
        <v>1</v>
      </c>
      <c r="U9" s="30">
        <v>1</v>
      </c>
      <c r="V9" s="30">
        <v>1</v>
      </c>
      <c r="W9" s="30" t="b">
        <f>IF(NOT(DB_TBL_DATA_FIELDS[[#This Row],[RANGE_VALIDATION_ON_FLAG]]),TRUE,
AND(DB_TBL_DATA_FIELDS[[#This Row],[RANGE_VALUE_LEN]]&gt;=DB_TBL_DATA_FIELDS[[#This Row],[RANGE_VALIDATION_MIN]],DB_TBL_DATA_FIELDS[[#This Row],[RANGE_VALUE_LEN]]&lt;=DB_TBL_DATA_FIELDS[[#This Row],[RANGE_VALIDATION_MAX]]))</f>
        <v>1</v>
      </c>
      <c r="X9" s="30">
        <v>0</v>
      </c>
      <c r="Y9" s="31" t="str">
        <f>IF(DB_TBL_DATA_FIELDS[[#This Row],[PCT_CALC_SHOW_STATUS_CODE]]=1,
DB_TBL_DATA_FIELDS[[#This Row],[FIELD_STATUS_CODE]],
IF(AND(DB_TBL_DATA_FIELDS[[#This Row],[PCT_CALC_SHOW_STATUS_CODE]]=2,DB_TBL_DATA_FIELDS[[#This Row],[FIELD_STATUS_CODE]]=0),
DB_TBL_DATA_FIELDS[[#This Row],[FIELD_STATUS_CODE]],
"")
)</f>
        <v/>
      </c>
      <c r="Z9" s="31"/>
      <c r="AA9" s="33" t="s">
        <v>147</v>
      </c>
      <c r="AB9" s="33" t="s">
        <v>2223</v>
      </c>
      <c r="AC9" s="30"/>
    </row>
    <row r="10" spans="1:29" x14ac:dyDescent="0.3">
      <c r="A10" s="1" t="s">
        <v>2226</v>
      </c>
      <c r="B10" s="128" t="s">
        <v>2227</v>
      </c>
      <c r="C10" s="1" t="str">
        <f>IF($H$9&lt;&gt;"I",IF(DB_TBL_DATA_FIELDS[[#This Row],[SHEET_REF_WISH]]&lt;&gt;"",DB_TBL_DATA_FIELDS[[#This Row],[SHEET_REF_WISH]],""),IF(DB_TBL_DATA_FIELDS[[#This Row],[SHEET_REF_IDEA]]&lt;&gt;"",DB_TBL_DATA_FIELDS[[#This Row],[SHEET_REF_IDEA]],""))</f>
        <v>WISH</v>
      </c>
      <c r="D10" s="1" t="s">
        <v>2231</v>
      </c>
      <c r="E10" s="1" t="b">
        <v>1</v>
      </c>
      <c r="F10" s="11" t="b">
        <v>1</v>
      </c>
      <c r="G10" s="2" t="s">
        <v>2232</v>
      </c>
      <c r="H10" s="2" t="str">
        <f ca="1">IFERROR(VLOOKUP(DB_TBL_DATA_FIELDS[[#This Row],[FIELD_ID]],INDIRECT(DB_TBL_DATA_FIELDS[[#This Row],[SHEET_REF_CALC]]&amp;"!A:B"),2,FALSE),"")</f>
        <v/>
      </c>
      <c r="J10" s="2" t="b">
        <f ca="1">(DB_TBL_DATA_FIELDS[[#This Row],[FIELD_VALUE_RAW]]="")</f>
        <v>1</v>
      </c>
      <c r="K10" s="2" t="s">
        <v>11</v>
      </c>
      <c r="L10" s="1" t="b">
        <f ca="1">AND(IF(DB_TBL_DATA_FIELDS[[#This Row],[FIELD_VALID_CUSTOM_LOGIC]]="",TRUE,DB_TBL_DATA_FIELDS[[#This Row],[FIELD_VALID_CUSTOM_LOGIC]]),DB_TBL_DATA_FIELDS[[#This Row],[RANGE_VALIDATION_PASSED_FLAG]])</f>
        <v>1</v>
      </c>
      <c r="M10"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10" s="1">
        <f ca="1">IF(DB_TBL_DATA_FIELDS[[#This Row],[SHEET_REF_CALC]]="","",IF(DB_TBL_DATA_FIELDS[[#This Row],[FIELD_EMPTY_FLAG]],IF(NOT(DB_TBL_DATA_FIELDS[[#This Row],[FIELD_REQ_FLAG]]),-1,1),IF(NOT(DB_TBL_DATA_FIELDS[[#This Row],[FIELD_VALID_FLAG]]),0,2)))</f>
        <v>1</v>
      </c>
      <c r="O10" s="1" t="str">
        <f ca="1">IFERROR(VLOOKUP(DB_TBL_DATA_FIELDS[[#This Row],[FIELD_STATUS_CODE]],DB_TBL_CONFIG_FIELDSTATUSCODES[#All],3,FALSE),"")</f>
        <v>Required</v>
      </c>
      <c r="P10" s="1" t="str">
        <f ca="1">IFERROR(VLOOKUP(DB_TBL_DATA_FIELDS[[#This Row],[FIELD_STATUS_CODE]],DB_TBL_CONFIG_FIELDSTATUSCODES[#All],4,FALSE),"")</f>
        <v>i</v>
      </c>
      <c r="Q10" s="1" t="b">
        <f>TRUE</f>
        <v>1</v>
      </c>
      <c r="R10" s="1" t="b">
        <f>TRUE</f>
        <v>1</v>
      </c>
      <c r="S10" s="1" t="s">
        <v>11</v>
      </c>
      <c r="T10" s="1">
        <f ca="1">IF(DB_TBL_DATA_FIELDS[[#This Row],[RANGE_VALIDATION_FLAG]]="Text",LEN(DB_TBL_DATA_FIELDS[[#This Row],[FIELD_VALUE_RAW]]),IFERROR(VALUE(DB_TBL_DATA_FIELDS[[#This Row],[FIELD_VALUE_RAW]]),-1))</f>
        <v>0</v>
      </c>
      <c r="U10" s="1">
        <v>0</v>
      </c>
      <c r="V10" s="1">
        <v>100</v>
      </c>
      <c r="W10" s="1" t="b">
        <f ca="1">IF(NOT(DB_TBL_DATA_FIELDS[[#This Row],[RANGE_VALIDATION_ON_FLAG]]),TRUE,
AND(DB_TBL_DATA_FIELDS[[#This Row],[RANGE_VALUE_LEN]]&gt;=DB_TBL_DATA_FIELDS[[#This Row],[RANGE_VALIDATION_MIN]],DB_TBL_DATA_FIELDS[[#This Row],[RANGE_VALUE_LEN]]&lt;=DB_TBL_DATA_FIELDS[[#This Row],[RANGE_VALIDATION_MAX]]))</f>
        <v>1</v>
      </c>
      <c r="X10" s="1">
        <v>1</v>
      </c>
      <c r="Y10" s="1">
        <f ca="1">IF(DB_TBL_DATA_FIELDS[[#This Row],[PCT_CALC_SHOW_STATUS_CODE]]=1,
DB_TBL_DATA_FIELDS[[#This Row],[FIELD_STATUS_CODE]],
IF(AND(DB_TBL_DATA_FIELDS[[#This Row],[PCT_CALC_SHOW_STATUS_CODE]]=2,DB_TBL_DATA_FIELDS[[#This Row],[FIELD_STATUS_CODE]]=0),
DB_TBL_DATA_FIELDS[[#This Row],[FIELD_STATUS_CODE]],
"")
)</f>
        <v>1</v>
      </c>
      <c r="AA10" s="2">
        <v>1</v>
      </c>
      <c r="AB10" s="2" t="s">
        <v>2233</v>
      </c>
    </row>
    <row r="11" spans="1:29" x14ac:dyDescent="0.3">
      <c r="A11" s="1" t="s">
        <v>2226</v>
      </c>
      <c r="B11" s="128" t="s">
        <v>2227</v>
      </c>
      <c r="C11" s="1" t="str">
        <f>IF($H$9&lt;&gt;"I",IF(DB_TBL_DATA_FIELDS[[#This Row],[SHEET_REF_WISH]]&lt;&gt;"",DB_TBL_DATA_FIELDS[[#This Row],[SHEET_REF_WISH]],""),IF(DB_TBL_DATA_FIELDS[[#This Row],[SHEET_REF_IDEA]]&lt;&gt;"",DB_TBL_DATA_FIELDS[[#This Row],[SHEET_REF_IDEA]],""))</f>
        <v>WISH</v>
      </c>
      <c r="D11" s="1" t="s">
        <v>2235</v>
      </c>
      <c r="E11" s="1" t="b">
        <v>1</v>
      </c>
      <c r="F11" s="11" t="b">
        <v>0</v>
      </c>
      <c r="G11" s="2" t="s">
        <v>2236</v>
      </c>
      <c r="H11" s="2" t="str">
        <f ca="1">IFERROR(VLOOKUP(DB_TBL_DATA_FIELDS[[#This Row],[FIELD_ID]],INDIRECT(DB_TBL_DATA_FIELDS[[#This Row],[SHEET_REF_CALC]]&amp;"!A:B"),2,FALSE),"")</f>
        <v/>
      </c>
      <c r="J11" s="2" t="b">
        <f ca="1">(DB_TBL_DATA_FIELDS[[#This Row],[FIELD_VALUE_RAW]]="")</f>
        <v>1</v>
      </c>
      <c r="K11" s="2" t="s">
        <v>11</v>
      </c>
      <c r="L11" s="1" t="b">
        <f ca="1">AND(IF(DB_TBL_DATA_FIELDS[[#This Row],[FIELD_VALID_CUSTOM_LOGIC]]="",TRUE,DB_TBL_DATA_FIELDS[[#This Row],[FIELD_VALID_CUSTOM_LOGIC]]),DB_TBL_DATA_FIELDS[[#This Row],[RANGE_VALIDATION_PASSED_FLAG]])</f>
        <v>1</v>
      </c>
      <c r="M11"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11" s="1">
        <f ca="1">IF(DB_TBL_DATA_FIELDS[[#This Row],[SHEET_REF_CALC]]="","",IF(DB_TBL_DATA_FIELDS[[#This Row],[FIELD_EMPTY_FLAG]],IF(NOT(DB_TBL_DATA_FIELDS[[#This Row],[FIELD_REQ_FLAG]]),-1,1),IF(NOT(DB_TBL_DATA_FIELDS[[#This Row],[FIELD_VALID_FLAG]]),0,2)))</f>
        <v>-1</v>
      </c>
      <c r="O11" s="1" t="str">
        <f ca="1">IFERROR(VLOOKUP(DB_TBL_DATA_FIELDS[[#This Row],[FIELD_STATUS_CODE]],DB_TBL_CONFIG_FIELDSTATUSCODES[#All],3,FALSE),"")</f>
        <v>Optional</v>
      </c>
      <c r="P11" s="1" t="str">
        <f ca="1">IFERROR(VLOOKUP(DB_TBL_DATA_FIELDS[[#This Row],[FIELD_STATUS_CODE]],DB_TBL_CONFIG_FIELDSTATUSCODES[#All],4,FALSE),"")</f>
        <v xml:space="preserve"> </v>
      </c>
      <c r="Q11" s="1" t="b">
        <f>TRUE</f>
        <v>1</v>
      </c>
      <c r="R11" s="1" t="b">
        <f>TRUE</f>
        <v>1</v>
      </c>
      <c r="S11" s="1" t="s">
        <v>11</v>
      </c>
      <c r="T11" s="1">
        <f ca="1">IF(DB_TBL_DATA_FIELDS[[#This Row],[RANGE_VALIDATION_FLAG]]="Text",LEN(DB_TBL_DATA_FIELDS[[#This Row],[FIELD_VALUE_RAW]]),IFERROR(VALUE(DB_TBL_DATA_FIELDS[[#This Row],[FIELD_VALUE_RAW]]),-1))</f>
        <v>0</v>
      </c>
      <c r="U11" s="1">
        <v>0</v>
      </c>
      <c r="V11" s="1">
        <v>30</v>
      </c>
      <c r="W11" s="1" t="b">
        <f ca="1">IF(NOT(DB_TBL_DATA_FIELDS[[#This Row],[RANGE_VALIDATION_ON_FLAG]]),TRUE,
AND(DB_TBL_DATA_FIELDS[[#This Row],[RANGE_VALUE_LEN]]&gt;=DB_TBL_DATA_FIELDS[[#This Row],[RANGE_VALIDATION_MIN]],DB_TBL_DATA_FIELDS[[#This Row],[RANGE_VALUE_LEN]]&lt;=DB_TBL_DATA_FIELDS[[#This Row],[RANGE_VALIDATION_MAX]]))</f>
        <v>1</v>
      </c>
      <c r="X11" s="1">
        <v>1</v>
      </c>
      <c r="Y11" s="1">
        <f ca="1">IF(DB_TBL_DATA_FIELDS[[#This Row],[PCT_CALC_SHOW_STATUS_CODE]]=1,
DB_TBL_DATA_FIELDS[[#This Row],[FIELD_STATUS_CODE]],
IF(AND(DB_TBL_DATA_FIELDS[[#This Row],[PCT_CALC_SHOW_STATUS_CODE]]=2,DB_TBL_DATA_FIELDS[[#This Row],[FIELD_STATUS_CODE]]=0),
DB_TBL_DATA_FIELDS[[#This Row],[FIELD_STATUS_CODE]],
"")
)</f>
        <v>-1</v>
      </c>
      <c r="AA11" s="2">
        <v>2</v>
      </c>
      <c r="AB11" s="2" t="s">
        <v>2233</v>
      </c>
    </row>
    <row r="12" spans="1:29" x14ac:dyDescent="0.3">
      <c r="A12" s="1" t="s">
        <v>2226</v>
      </c>
      <c r="B12" s="128" t="s">
        <v>2227</v>
      </c>
      <c r="C12" s="1" t="str">
        <f>IF($H$9&lt;&gt;"I",IF(DB_TBL_DATA_FIELDS[[#This Row],[SHEET_REF_WISH]]&lt;&gt;"",DB_TBL_DATA_FIELDS[[#This Row],[SHEET_REF_WISH]],""),IF(DB_TBL_DATA_FIELDS[[#This Row],[SHEET_REF_IDEA]]&lt;&gt;"",DB_TBL_DATA_FIELDS[[#This Row],[SHEET_REF_IDEA]],""))</f>
        <v>WISH</v>
      </c>
      <c r="D12" s="1" t="s">
        <v>2234</v>
      </c>
      <c r="E12" s="1" t="b">
        <v>1</v>
      </c>
      <c r="F12" s="11" t="b">
        <v>1</v>
      </c>
      <c r="G12" s="2" t="s">
        <v>2237</v>
      </c>
      <c r="H12" s="2" t="str">
        <f ca="1">IFERROR(VLOOKUP(DB_TBL_DATA_FIELDS[[#This Row],[FIELD_ID]],INDIRECT(DB_TBL_DATA_FIELDS[[#This Row],[SHEET_REF_CALC]]&amp;"!A:B"),2,FALSE),"")</f>
        <v/>
      </c>
      <c r="J12" s="2" t="b">
        <f ca="1">(DB_TBL_DATA_FIELDS[[#This Row],[FIELD_VALUE_RAW]]="")</f>
        <v>1</v>
      </c>
      <c r="K12" s="2" t="s">
        <v>11</v>
      </c>
      <c r="L12" s="1" t="b">
        <f ca="1">AND(IF(DB_TBL_DATA_FIELDS[[#This Row],[FIELD_VALID_CUSTOM_LOGIC]]="",TRUE,DB_TBL_DATA_FIELDS[[#This Row],[FIELD_VALID_CUSTOM_LOGIC]]),DB_TBL_DATA_FIELDS[[#This Row],[RANGE_VALIDATION_PASSED_FLAG]])</f>
        <v>1</v>
      </c>
      <c r="M12"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12" s="1">
        <f ca="1">IF(DB_TBL_DATA_FIELDS[[#This Row],[SHEET_REF_CALC]]="","",IF(DB_TBL_DATA_FIELDS[[#This Row],[FIELD_EMPTY_FLAG]],IF(NOT(DB_TBL_DATA_FIELDS[[#This Row],[FIELD_REQ_FLAG]]),-1,1),IF(NOT(DB_TBL_DATA_FIELDS[[#This Row],[FIELD_VALID_FLAG]]),0,2)))</f>
        <v>1</v>
      </c>
      <c r="O12" s="1" t="str">
        <f ca="1">IFERROR(VLOOKUP(DB_TBL_DATA_FIELDS[[#This Row],[FIELD_STATUS_CODE]],DB_TBL_CONFIG_FIELDSTATUSCODES[#All],3,FALSE),"")</f>
        <v>Required</v>
      </c>
      <c r="P12" s="1" t="str">
        <f ca="1">IFERROR(VLOOKUP(DB_TBL_DATA_FIELDS[[#This Row],[FIELD_STATUS_CODE]],DB_TBL_CONFIG_FIELDSTATUSCODES[#All],4,FALSE),"")</f>
        <v>i</v>
      </c>
      <c r="Q12" s="1" t="b">
        <f>TRUE</f>
        <v>1</v>
      </c>
      <c r="R12" s="1" t="b">
        <f>TRUE</f>
        <v>1</v>
      </c>
      <c r="S12" s="1" t="s">
        <v>11</v>
      </c>
      <c r="T12" s="1">
        <f ca="1">IF(DB_TBL_DATA_FIELDS[[#This Row],[RANGE_VALIDATION_FLAG]]="Text",LEN(DB_TBL_DATA_FIELDS[[#This Row],[FIELD_VALUE_RAW]]),IFERROR(VALUE(DB_TBL_DATA_FIELDS[[#This Row],[FIELD_VALUE_RAW]]),-1))</f>
        <v>0</v>
      </c>
      <c r="U12" s="1">
        <v>0</v>
      </c>
      <c r="V12" s="1">
        <v>30</v>
      </c>
      <c r="W12" s="1" t="b">
        <f ca="1">IF(NOT(DB_TBL_DATA_FIELDS[[#This Row],[RANGE_VALIDATION_ON_FLAG]]),TRUE,
AND(DB_TBL_DATA_FIELDS[[#This Row],[RANGE_VALUE_LEN]]&gt;=DB_TBL_DATA_FIELDS[[#This Row],[RANGE_VALIDATION_MIN]],DB_TBL_DATA_FIELDS[[#This Row],[RANGE_VALUE_LEN]]&lt;=DB_TBL_DATA_FIELDS[[#This Row],[RANGE_VALIDATION_MAX]]))</f>
        <v>1</v>
      </c>
      <c r="X12" s="1">
        <v>1</v>
      </c>
      <c r="Y12" s="1">
        <f ca="1">IF(DB_TBL_DATA_FIELDS[[#This Row],[PCT_CALC_SHOW_STATUS_CODE]]=1,
DB_TBL_DATA_FIELDS[[#This Row],[FIELD_STATUS_CODE]],
IF(AND(DB_TBL_DATA_FIELDS[[#This Row],[PCT_CALC_SHOW_STATUS_CODE]]=2,DB_TBL_DATA_FIELDS[[#This Row],[FIELD_STATUS_CODE]]=0),
DB_TBL_DATA_FIELDS[[#This Row],[FIELD_STATUS_CODE]],
"")
)</f>
        <v>1</v>
      </c>
      <c r="AA12" s="2">
        <v>3</v>
      </c>
      <c r="AB12" s="2" t="s">
        <v>2233</v>
      </c>
    </row>
    <row r="13" spans="1:29" x14ac:dyDescent="0.3">
      <c r="A13" s="1" t="s">
        <v>2226</v>
      </c>
      <c r="B13" s="128" t="s">
        <v>2227</v>
      </c>
      <c r="C13" s="1" t="str">
        <f>IF($H$9&lt;&gt;"I",IF(DB_TBL_DATA_FIELDS[[#This Row],[SHEET_REF_WISH]]&lt;&gt;"",DB_TBL_DATA_FIELDS[[#This Row],[SHEET_REF_WISH]],""),IF(DB_TBL_DATA_FIELDS[[#This Row],[SHEET_REF_IDEA]]&lt;&gt;"",DB_TBL_DATA_FIELDS[[#This Row],[SHEET_REF_IDEA]],""))</f>
        <v>WISH</v>
      </c>
      <c r="D13" s="1" t="s">
        <v>2378</v>
      </c>
      <c r="E13" s="1" t="b">
        <v>0</v>
      </c>
      <c r="F13" s="11" t="b">
        <v>0</v>
      </c>
      <c r="G13" s="2" t="s">
        <v>2379</v>
      </c>
      <c r="H13" s="109" t="str">
        <f ca="1">IF(AND(FIRST_NAME&lt;&gt;"",LAST_NAME&lt;&gt;""),FIRST_NAME&amp;" "&amp;IF(MIDDLE_NAME&lt;&gt;"",MIDDLE_NAME&amp;" ","")&amp;LAST_NAME,"")</f>
        <v/>
      </c>
      <c r="J13" s="2" t="b">
        <f ca="1">(DB_TBL_DATA_FIELDS[[#This Row],[FIELD_VALUE_RAW]]="")</f>
        <v>1</v>
      </c>
      <c r="K13" s="2" t="s">
        <v>11</v>
      </c>
      <c r="L13" s="1" t="b">
        <f>AND(IF(DB_TBL_DATA_FIELDS[[#This Row],[FIELD_VALID_CUSTOM_LOGIC]]="",TRUE,DB_TBL_DATA_FIELDS[[#This Row],[FIELD_VALID_CUSTOM_LOGIC]]),DB_TBL_DATA_FIELDS[[#This Row],[RANGE_VALIDATION_PASSED_FLAG]])</f>
        <v>1</v>
      </c>
      <c r="M13"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13" s="1">
        <f ca="1">IF(DB_TBL_DATA_FIELDS[[#This Row],[SHEET_REF_CALC]]="","",IF(DB_TBL_DATA_FIELDS[[#This Row],[FIELD_EMPTY_FLAG]],IF(NOT(DB_TBL_DATA_FIELDS[[#This Row],[FIELD_REQ_FLAG]]),-1,1),IF(NOT(DB_TBL_DATA_FIELDS[[#This Row],[FIELD_VALID_FLAG]]),0,2)))</f>
        <v>-1</v>
      </c>
      <c r="O13" s="1" t="str">
        <f ca="1">IFERROR(VLOOKUP(DB_TBL_DATA_FIELDS[[#This Row],[FIELD_STATUS_CODE]],DB_TBL_CONFIG_FIELDSTATUSCODES[#All],3,FALSE),"")</f>
        <v>Optional</v>
      </c>
      <c r="P13" s="1" t="str">
        <f ca="1">IFERROR(VLOOKUP(DB_TBL_DATA_FIELDS[[#This Row],[FIELD_STATUS_CODE]],DB_TBL_CONFIG_FIELDSTATUSCODES[#All],4,FALSE),"")</f>
        <v xml:space="preserve"> </v>
      </c>
      <c r="Q13" s="1" t="b">
        <f>TRUE</f>
        <v>1</v>
      </c>
      <c r="R13" s="1" t="b">
        <v>0</v>
      </c>
      <c r="T13" s="1">
        <f ca="1">IF(DB_TBL_DATA_FIELDS[[#This Row],[RANGE_VALIDATION_FLAG]]="Text",LEN(DB_TBL_DATA_FIELDS[[#This Row],[FIELD_VALUE_RAW]]),IFERROR(VALUE(DB_TBL_DATA_FIELDS[[#This Row],[FIELD_VALUE_RAW]]),-1))</f>
        <v>-1</v>
      </c>
      <c r="W13" s="1" t="b">
        <f>IF(NOT(DB_TBL_DATA_FIELDS[[#This Row],[RANGE_VALIDATION_ON_FLAG]]),TRUE,
AND(DB_TBL_DATA_FIELDS[[#This Row],[RANGE_VALUE_LEN]]&gt;=DB_TBL_DATA_FIELDS[[#This Row],[RANGE_VALIDATION_MIN]],DB_TBL_DATA_FIELDS[[#This Row],[RANGE_VALUE_LEN]]&lt;=DB_TBL_DATA_FIELDS[[#This Row],[RANGE_VALIDATION_MAX]]))</f>
        <v>1</v>
      </c>
      <c r="X13" s="1">
        <v>0</v>
      </c>
      <c r="Y13" s="1" t="str">
        <f ca="1">IF(DB_TBL_DATA_FIELDS[[#This Row],[PCT_CALC_SHOW_STATUS_CODE]]=1,
DB_TBL_DATA_FIELDS[[#This Row],[FIELD_STATUS_CODE]],
IF(AND(DB_TBL_DATA_FIELDS[[#This Row],[PCT_CALC_SHOW_STATUS_CODE]]=2,DB_TBL_DATA_FIELDS[[#This Row],[FIELD_STATUS_CODE]]=0),
DB_TBL_DATA_FIELDS[[#This Row],[FIELD_STATUS_CODE]],
"")
)</f>
        <v/>
      </c>
      <c r="AA13" s="2" t="s">
        <v>147</v>
      </c>
      <c r="AB13" s="2" t="s">
        <v>2233</v>
      </c>
      <c r="AC13" s="1" t="s">
        <v>2380</v>
      </c>
    </row>
    <row r="14" spans="1:29" x14ac:dyDescent="0.3">
      <c r="A14" s="1" t="s">
        <v>2226</v>
      </c>
      <c r="B14" s="128" t="s">
        <v>2227</v>
      </c>
      <c r="C14" s="1" t="str">
        <f>IF($H$9&lt;&gt;"I",IF(DB_TBL_DATA_FIELDS[[#This Row],[SHEET_REF_WISH]]&lt;&gt;"",DB_TBL_DATA_FIELDS[[#This Row],[SHEET_REF_WISH]],""),IF(DB_TBL_DATA_FIELDS[[#This Row],[SHEET_REF_IDEA]]&lt;&gt;"",DB_TBL_DATA_FIELDS[[#This Row],[SHEET_REF_IDEA]],""))</f>
        <v>WISH</v>
      </c>
      <c r="D14" s="1" t="s">
        <v>2421</v>
      </c>
      <c r="E14" s="1" t="b">
        <v>1</v>
      </c>
      <c r="F14" s="11" t="b">
        <v>0</v>
      </c>
      <c r="G14" s="2" t="s">
        <v>2424</v>
      </c>
      <c r="H14" s="2" t="str">
        <f ca="1">IFERROR(VLOOKUP(DB_TBL_DATA_FIELDS[[#This Row],[FIELD_ID]],INDIRECT(DB_TBL_DATA_FIELDS[[#This Row],[SHEET_REF_CALC]]&amp;"!A:B"),2,FALSE),"")</f>
        <v/>
      </c>
      <c r="J14" s="2" t="b">
        <f ca="1">(DB_TBL_DATA_FIELDS[[#This Row],[FIELD_VALUE_RAW]]="")</f>
        <v>1</v>
      </c>
      <c r="K14" s="2" t="s">
        <v>11</v>
      </c>
      <c r="L14" s="1" t="b">
        <f ca="1">AND(IF(DB_TBL_DATA_FIELDS[[#This Row],[FIELD_VALID_CUSTOM_LOGIC]]="",TRUE,DB_TBL_DATA_FIELDS[[#This Row],[FIELD_VALID_CUSTOM_LOGIC]]),DB_TBL_DATA_FIELDS[[#This Row],[RANGE_VALIDATION_PASSED_FLAG]])</f>
        <v>1</v>
      </c>
      <c r="M14"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14" s="1">
        <f ca="1">IF(DB_TBL_DATA_FIELDS[[#This Row],[SHEET_REF_CALC]]="","",IF(DB_TBL_DATA_FIELDS[[#This Row],[FIELD_EMPTY_FLAG]],IF(NOT(DB_TBL_DATA_FIELDS[[#This Row],[FIELD_REQ_FLAG]]),-1,1),IF(NOT(DB_TBL_DATA_FIELDS[[#This Row],[FIELD_VALID_FLAG]]),0,2)))</f>
        <v>-1</v>
      </c>
      <c r="O14" s="1" t="str">
        <f ca="1">IFERROR(VLOOKUP(DB_TBL_DATA_FIELDS[[#This Row],[FIELD_STATUS_CODE]],DB_TBL_CONFIG_FIELDSTATUSCODES[#All],3,FALSE),"")</f>
        <v>Optional</v>
      </c>
      <c r="P14" s="1" t="str">
        <f ca="1">IFERROR(VLOOKUP(DB_TBL_DATA_FIELDS[[#This Row],[FIELD_STATUS_CODE]],DB_TBL_CONFIG_FIELDSTATUSCODES[#All],4,FALSE),"")</f>
        <v xml:space="preserve"> </v>
      </c>
      <c r="Q14" s="1" t="b">
        <f>TRUE</f>
        <v>1</v>
      </c>
      <c r="R14" s="1" t="b">
        <f>TRUE</f>
        <v>1</v>
      </c>
      <c r="S14" s="1" t="s">
        <v>11</v>
      </c>
      <c r="T14" s="1">
        <f ca="1">IF(DB_TBL_DATA_FIELDS[[#This Row],[RANGE_VALIDATION_FLAG]]="Text",LEN(DB_TBL_DATA_FIELDS[[#This Row],[FIELD_VALUE_RAW]]),IFERROR(VALUE(DB_TBL_DATA_FIELDS[[#This Row],[FIELD_VALUE_RAW]]),-1))</f>
        <v>0</v>
      </c>
      <c r="U14" s="1">
        <v>0</v>
      </c>
      <c r="V14" s="1">
        <v>100</v>
      </c>
      <c r="W14" s="1" t="b">
        <f ca="1">IF(NOT(DB_TBL_DATA_FIELDS[[#This Row],[RANGE_VALIDATION_ON_FLAG]]),TRUE,
AND(DB_TBL_DATA_FIELDS[[#This Row],[RANGE_VALUE_LEN]]&gt;=DB_TBL_DATA_FIELDS[[#This Row],[RANGE_VALIDATION_MIN]],DB_TBL_DATA_FIELDS[[#This Row],[RANGE_VALUE_LEN]]&lt;=DB_TBL_DATA_FIELDS[[#This Row],[RANGE_VALIDATION_MAX]]))</f>
        <v>1</v>
      </c>
      <c r="X14" s="1">
        <v>1</v>
      </c>
      <c r="Y14" s="1">
        <f ca="1">IF(DB_TBL_DATA_FIELDS[[#This Row],[PCT_CALC_SHOW_STATUS_CODE]]=1,
DB_TBL_DATA_FIELDS[[#This Row],[FIELD_STATUS_CODE]],
IF(AND(DB_TBL_DATA_FIELDS[[#This Row],[PCT_CALC_SHOW_STATUS_CODE]]=2,DB_TBL_DATA_FIELDS[[#This Row],[FIELD_STATUS_CODE]]=0),
DB_TBL_DATA_FIELDS[[#This Row],[FIELD_STATUS_CODE]],
"")
)</f>
        <v>-1</v>
      </c>
      <c r="AA14" s="2" t="s">
        <v>147</v>
      </c>
      <c r="AB14" s="2" t="s">
        <v>2233</v>
      </c>
      <c r="AC14" s="101" t="s">
        <v>2427</v>
      </c>
    </row>
    <row r="15" spans="1:29" x14ac:dyDescent="0.3">
      <c r="A15" s="1" t="s">
        <v>2226</v>
      </c>
      <c r="B15" s="128" t="s">
        <v>2227</v>
      </c>
      <c r="C15" s="1" t="str">
        <f>IF($H$9&lt;&gt;"I",IF(DB_TBL_DATA_FIELDS[[#This Row],[SHEET_REF_WISH]]&lt;&gt;"",DB_TBL_DATA_FIELDS[[#This Row],[SHEET_REF_WISH]],""),IF(DB_TBL_DATA_FIELDS[[#This Row],[SHEET_REF_IDEA]]&lt;&gt;"",DB_TBL_DATA_FIELDS[[#This Row],[SHEET_REF_IDEA]],""))</f>
        <v>WISH</v>
      </c>
      <c r="D15" s="1" t="s">
        <v>2422</v>
      </c>
      <c r="E15" s="1" t="b">
        <v>1</v>
      </c>
      <c r="F15" s="11" t="b">
        <v>0</v>
      </c>
      <c r="G15" s="2" t="s">
        <v>2425</v>
      </c>
      <c r="H15" s="2" t="str">
        <f ca="1">IFERROR(VLOOKUP(DB_TBL_DATA_FIELDS[[#This Row],[FIELD_ID]],INDIRECT(DB_TBL_DATA_FIELDS[[#This Row],[SHEET_REF_CALC]]&amp;"!A:B"),2,FALSE),"")</f>
        <v/>
      </c>
      <c r="J15" s="2" t="b">
        <f ca="1">(DB_TBL_DATA_FIELDS[[#This Row],[FIELD_VALUE_RAW]]="")</f>
        <v>1</v>
      </c>
      <c r="K15" s="2" t="s">
        <v>11</v>
      </c>
      <c r="L15" s="1" t="b">
        <f ca="1">AND(IF(DB_TBL_DATA_FIELDS[[#This Row],[FIELD_VALID_CUSTOM_LOGIC]]="",TRUE,DB_TBL_DATA_FIELDS[[#This Row],[FIELD_VALID_CUSTOM_LOGIC]]),DB_TBL_DATA_FIELDS[[#This Row],[RANGE_VALIDATION_PASSED_FLAG]])</f>
        <v>1</v>
      </c>
      <c r="M15"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15" s="1">
        <f ca="1">IF(DB_TBL_DATA_FIELDS[[#This Row],[SHEET_REF_CALC]]="","",IF(DB_TBL_DATA_FIELDS[[#This Row],[FIELD_EMPTY_FLAG]],IF(NOT(DB_TBL_DATA_FIELDS[[#This Row],[FIELD_REQ_FLAG]]),-1,1),IF(NOT(DB_TBL_DATA_FIELDS[[#This Row],[FIELD_VALID_FLAG]]),0,2)))</f>
        <v>-1</v>
      </c>
      <c r="O15" s="1" t="str">
        <f ca="1">IFERROR(VLOOKUP(DB_TBL_DATA_FIELDS[[#This Row],[FIELD_STATUS_CODE]],DB_TBL_CONFIG_FIELDSTATUSCODES[#All],3,FALSE),"")</f>
        <v>Optional</v>
      </c>
      <c r="P15" s="1" t="str">
        <f ca="1">IFERROR(VLOOKUP(DB_TBL_DATA_FIELDS[[#This Row],[FIELD_STATUS_CODE]],DB_TBL_CONFIG_FIELDSTATUSCODES[#All],4,FALSE),"")</f>
        <v xml:space="preserve"> </v>
      </c>
      <c r="Q15" s="1" t="b">
        <f>TRUE</f>
        <v>1</v>
      </c>
      <c r="R15" s="1" t="b">
        <f>TRUE</f>
        <v>1</v>
      </c>
      <c r="S15" s="1" t="s">
        <v>11</v>
      </c>
      <c r="T15" s="1">
        <f ca="1">IF(DB_TBL_DATA_FIELDS[[#This Row],[RANGE_VALIDATION_FLAG]]="Text",LEN(DB_TBL_DATA_FIELDS[[#This Row],[FIELD_VALUE_RAW]]),IFERROR(VALUE(DB_TBL_DATA_FIELDS[[#This Row],[FIELD_VALUE_RAW]]),-1))</f>
        <v>0</v>
      </c>
      <c r="U15" s="1">
        <v>0</v>
      </c>
      <c r="V15" s="1">
        <v>30</v>
      </c>
      <c r="W15" s="1" t="b">
        <f ca="1">IF(NOT(DB_TBL_DATA_FIELDS[[#This Row],[RANGE_VALIDATION_ON_FLAG]]),TRUE,
AND(DB_TBL_DATA_FIELDS[[#This Row],[RANGE_VALUE_LEN]]&gt;=DB_TBL_DATA_FIELDS[[#This Row],[RANGE_VALIDATION_MIN]],DB_TBL_DATA_FIELDS[[#This Row],[RANGE_VALUE_LEN]]&lt;=DB_TBL_DATA_FIELDS[[#This Row],[RANGE_VALIDATION_MAX]]))</f>
        <v>1</v>
      </c>
      <c r="X15" s="1">
        <v>1</v>
      </c>
      <c r="Y15" s="1">
        <f ca="1">IF(DB_TBL_DATA_FIELDS[[#This Row],[PCT_CALC_SHOW_STATUS_CODE]]=1,
DB_TBL_DATA_FIELDS[[#This Row],[FIELD_STATUS_CODE]],
IF(AND(DB_TBL_DATA_FIELDS[[#This Row],[PCT_CALC_SHOW_STATUS_CODE]]=2,DB_TBL_DATA_FIELDS[[#This Row],[FIELD_STATUS_CODE]]=0),
DB_TBL_DATA_FIELDS[[#This Row],[FIELD_STATUS_CODE]],
"")
)</f>
        <v>-1</v>
      </c>
      <c r="AA15" s="2" t="s">
        <v>147</v>
      </c>
      <c r="AB15" s="2" t="s">
        <v>2233</v>
      </c>
      <c r="AC15" s="101" t="s">
        <v>2427</v>
      </c>
    </row>
    <row r="16" spans="1:29" x14ac:dyDescent="0.3">
      <c r="A16" s="1" t="s">
        <v>2226</v>
      </c>
      <c r="B16" s="128" t="s">
        <v>2227</v>
      </c>
      <c r="C16" s="1" t="str">
        <f>IF($H$9&lt;&gt;"I",IF(DB_TBL_DATA_FIELDS[[#This Row],[SHEET_REF_WISH]]&lt;&gt;"",DB_TBL_DATA_FIELDS[[#This Row],[SHEET_REF_WISH]],""),IF(DB_TBL_DATA_FIELDS[[#This Row],[SHEET_REF_IDEA]]&lt;&gt;"",DB_TBL_DATA_FIELDS[[#This Row],[SHEET_REF_IDEA]],""))</f>
        <v>WISH</v>
      </c>
      <c r="D16" s="1" t="s">
        <v>2423</v>
      </c>
      <c r="E16" s="1" t="b">
        <v>1</v>
      </c>
      <c r="F16" s="11" t="b">
        <v>0</v>
      </c>
      <c r="G16" s="2" t="s">
        <v>2426</v>
      </c>
      <c r="H16" s="2" t="str">
        <f ca="1">IFERROR(VLOOKUP(DB_TBL_DATA_FIELDS[[#This Row],[FIELD_ID]],INDIRECT(DB_TBL_DATA_FIELDS[[#This Row],[SHEET_REF_CALC]]&amp;"!A:B"),2,FALSE),"")</f>
        <v/>
      </c>
      <c r="J16" s="2" t="b">
        <f ca="1">(DB_TBL_DATA_FIELDS[[#This Row],[FIELD_VALUE_RAW]]="")</f>
        <v>1</v>
      </c>
      <c r="K16" s="2" t="s">
        <v>11</v>
      </c>
      <c r="L16" s="1" t="b">
        <f ca="1">AND(IF(DB_TBL_DATA_FIELDS[[#This Row],[FIELD_VALID_CUSTOM_LOGIC]]="",TRUE,DB_TBL_DATA_FIELDS[[#This Row],[FIELD_VALID_CUSTOM_LOGIC]]),DB_TBL_DATA_FIELDS[[#This Row],[RANGE_VALIDATION_PASSED_FLAG]])</f>
        <v>1</v>
      </c>
      <c r="M16"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16" s="1">
        <f ca="1">IF(DB_TBL_DATA_FIELDS[[#This Row],[SHEET_REF_CALC]]="","",IF(DB_TBL_DATA_FIELDS[[#This Row],[FIELD_EMPTY_FLAG]],IF(NOT(DB_TBL_DATA_FIELDS[[#This Row],[FIELD_REQ_FLAG]]),-1,1),IF(NOT(DB_TBL_DATA_FIELDS[[#This Row],[FIELD_VALID_FLAG]]),0,2)))</f>
        <v>-1</v>
      </c>
      <c r="O16" s="1" t="str">
        <f ca="1">IFERROR(VLOOKUP(DB_TBL_DATA_FIELDS[[#This Row],[FIELD_STATUS_CODE]],DB_TBL_CONFIG_FIELDSTATUSCODES[#All],3,FALSE),"")</f>
        <v>Optional</v>
      </c>
      <c r="P16" s="1" t="str">
        <f ca="1">IFERROR(VLOOKUP(DB_TBL_DATA_FIELDS[[#This Row],[FIELD_STATUS_CODE]],DB_TBL_CONFIG_FIELDSTATUSCODES[#All],4,FALSE),"")</f>
        <v xml:space="preserve"> </v>
      </c>
      <c r="Q16" s="1" t="b">
        <f>TRUE</f>
        <v>1</v>
      </c>
      <c r="R16" s="1" t="b">
        <f>TRUE</f>
        <v>1</v>
      </c>
      <c r="S16" s="1" t="s">
        <v>11</v>
      </c>
      <c r="T16" s="1">
        <f ca="1">IF(DB_TBL_DATA_FIELDS[[#This Row],[RANGE_VALIDATION_FLAG]]="Text",LEN(DB_TBL_DATA_FIELDS[[#This Row],[FIELD_VALUE_RAW]]),IFERROR(VALUE(DB_TBL_DATA_FIELDS[[#This Row],[FIELD_VALUE_RAW]]),-1))</f>
        <v>0</v>
      </c>
      <c r="U16" s="1">
        <v>0</v>
      </c>
      <c r="V16" s="1">
        <v>30</v>
      </c>
      <c r="W16" s="1" t="b">
        <f ca="1">IF(NOT(DB_TBL_DATA_FIELDS[[#This Row],[RANGE_VALIDATION_ON_FLAG]]),TRUE,
AND(DB_TBL_DATA_FIELDS[[#This Row],[RANGE_VALUE_LEN]]&gt;=DB_TBL_DATA_FIELDS[[#This Row],[RANGE_VALIDATION_MIN]],DB_TBL_DATA_FIELDS[[#This Row],[RANGE_VALUE_LEN]]&lt;=DB_TBL_DATA_FIELDS[[#This Row],[RANGE_VALIDATION_MAX]]))</f>
        <v>1</v>
      </c>
      <c r="X16" s="1">
        <v>1</v>
      </c>
      <c r="Y16" s="1">
        <f ca="1">IF(DB_TBL_DATA_FIELDS[[#This Row],[PCT_CALC_SHOW_STATUS_CODE]]=1,
DB_TBL_DATA_FIELDS[[#This Row],[FIELD_STATUS_CODE]],
IF(AND(DB_TBL_DATA_FIELDS[[#This Row],[PCT_CALC_SHOW_STATUS_CODE]]=2,DB_TBL_DATA_FIELDS[[#This Row],[FIELD_STATUS_CODE]]=0),
DB_TBL_DATA_FIELDS[[#This Row],[FIELD_STATUS_CODE]],
"")
)</f>
        <v>-1</v>
      </c>
      <c r="AA16" s="2" t="s">
        <v>147</v>
      </c>
      <c r="AB16" s="2" t="s">
        <v>2233</v>
      </c>
      <c r="AC16" s="101" t="s">
        <v>2427</v>
      </c>
    </row>
    <row r="17" spans="1:29" x14ac:dyDescent="0.3">
      <c r="A17" s="1" t="s">
        <v>2226</v>
      </c>
      <c r="B17" s="128"/>
      <c r="C17" s="1" t="str">
        <f>IF($H$9&lt;&gt;"I",IF(DB_TBL_DATA_FIELDS[[#This Row],[SHEET_REF_WISH]]&lt;&gt;"",DB_TBL_DATA_FIELDS[[#This Row],[SHEET_REF_WISH]],""),IF(DB_TBL_DATA_FIELDS[[#This Row],[SHEET_REF_IDEA]]&lt;&gt;"",DB_TBL_DATA_FIELDS[[#This Row],[SHEET_REF_IDEA]],""))</f>
        <v>WISH</v>
      </c>
      <c r="D17" s="101" t="s">
        <v>2343</v>
      </c>
      <c r="E17" s="101" t="b">
        <v>0</v>
      </c>
      <c r="F17" s="102" t="b">
        <v>1</v>
      </c>
      <c r="G17" s="2" t="s">
        <v>2391</v>
      </c>
      <c r="H17" s="2" t="str">
        <f ca="1">IFERROR(VLOOKUP(DB_TBL_DATA_FIELDS[[#This Row],[FIELD_ID]],INDIRECT(DB_TBL_DATA_FIELDS[[#This Row],[SHEET_REF_CALC]]&amp;"!A:B"),2,FALSE),"")</f>
        <v/>
      </c>
      <c r="I17" s="103"/>
      <c r="J17" s="103" t="b">
        <f ca="1">(DB_TBL_DATA_FIELDS[[#This Row],[FIELD_VALUE_RAW]]="")</f>
        <v>1</v>
      </c>
      <c r="K17" s="103" t="s">
        <v>11</v>
      </c>
      <c r="L17" s="101" t="b">
        <f ca="1">AND(IF(DB_TBL_DATA_FIELDS[[#This Row],[FIELD_VALID_CUSTOM_LOGIC]]="",TRUE,DB_TBL_DATA_FIELDS[[#This Row],[FIELD_VALID_CUSTOM_LOGIC]]),DB_TBL_DATA_FIELDS[[#This Row],[RANGE_VALIDATION_PASSED_FLAG]])</f>
        <v>1</v>
      </c>
      <c r="M17" s="10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17" s="101">
        <f ca="1">IF(DB_TBL_DATA_FIELDS[[#This Row],[SHEET_REF_CALC]]="","",IF(DB_TBL_DATA_FIELDS[[#This Row],[FIELD_EMPTY_FLAG]],IF(NOT(DB_TBL_DATA_FIELDS[[#This Row],[FIELD_REQ_FLAG]]),-1,1),IF(NOT(DB_TBL_DATA_FIELDS[[#This Row],[FIELD_VALID_FLAG]]),0,2)))</f>
        <v>1</v>
      </c>
      <c r="O17" s="101" t="str">
        <f ca="1">IFERROR(VLOOKUP(DB_TBL_DATA_FIELDS[[#This Row],[FIELD_STATUS_CODE]],DB_TBL_CONFIG_FIELDSTATUSCODES[#All],3,FALSE),"")</f>
        <v>Required</v>
      </c>
      <c r="P17" s="101" t="str">
        <f ca="1">IFERROR(VLOOKUP(DB_TBL_DATA_FIELDS[[#This Row],[FIELD_STATUS_CODE]],DB_TBL_CONFIG_FIELDSTATUSCODES[#All],4,FALSE),"")</f>
        <v>i</v>
      </c>
      <c r="Q17" s="101" t="b">
        <f>TRUE</f>
        <v>1</v>
      </c>
      <c r="R17" s="101" t="b">
        <f>TRUE</f>
        <v>1</v>
      </c>
      <c r="S17" s="101" t="s">
        <v>11</v>
      </c>
      <c r="T17" s="101">
        <f ca="1">IF(DB_TBL_DATA_FIELDS[[#This Row],[RANGE_VALIDATION_FLAG]]="Text",LEN(DB_TBL_DATA_FIELDS[[#This Row],[FIELD_VALUE_RAW]]),IFERROR(VALUE(DB_TBL_DATA_FIELDS[[#This Row],[FIELD_VALUE_RAW]]),-1))</f>
        <v>0</v>
      </c>
      <c r="U17" s="101">
        <v>0</v>
      </c>
      <c r="V17" s="101">
        <v>50</v>
      </c>
      <c r="W17" s="101" t="b">
        <f ca="1">IF(NOT(DB_TBL_DATA_FIELDS[[#This Row],[RANGE_VALIDATION_ON_FLAG]]),TRUE,
AND(DB_TBL_DATA_FIELDS[[#This Row],[RANGE_VALUE_LEN]]&gt;=DB_TBL_DATA_FIELDS[[#This Row],[RANGE_VALIDATION_MIN]],DB_TBL_DATA_FIELDS[[#This Row],[RANGE_VALUE_LEN]]&lt;=DB_TBL_DATA_FIELDS[[#This Row],[RANGE_VALIDATION_MAX]]))</f>
        <v>1</v>
      </c>
      <c r="X17" s="101">
        <v>1</v>
      </c>
      <c r="Y17" s="101">
        <f ca="1">IF(DB_TBL_DATA_FIELDS[[#This Row],[PCT_CALC_SHOW_STATUS_CODE]]=1,
DB_TBL_DATA_FIELDS[[#This Row],[FIELD_STATUS_CODE]],
IF(AND(DB_TBL_DATA_FIELDS[[#This Row],[PCT_CALC_SHOW_STATUS_CODE]]=2,DB_TBL_DATA_FIELDS[[#This Row],[FIELD_STATUS_CODE]]=0),
DB_TBL_DATA_FIELDS[[#This Row],[FIELD_STATUS_CODE]],
"")
)</f>
        <v>1</v>
      </c>
      <c r="Z17" s="101"/>
      <c r="AA17" s="103" t="s">
        <v>147</v>
      </c>
      <c r="AB17" s="2" t="s">
        <v>2233</v>
      </c>
      <c r="AC17" s="101" t="s">
        <v>2346</v>
      </c>
    </row>
    <row r="18" spans="1:29" x14ac:dyDescent="0.3">
      <c r="A18" s="1" t="s">
        <v>2226</v>
      </c>
      <c r="B18" s="128"/>
      <c r="C18" s="1" t="str">
        <f>IF($H$9&lt;&gt;"I",IF(DB_TBL_DATA_FIELDS[[#This Row],[SHEET_REF_WISH]]&lt;&gt;"",DB_TBL_DATA_FIELDS[[#This Row],[SHEET_REF_WISH]],""),IF(DB_TBL_DATA_FIELDS[[#This Row],[SHEET_REF_IDEA]]&lt;&gt;"",DB_TBL_DATA_FIELDS[[#This Row],[SHEET_REF_IDEA]],""))</f>
        <v>WISH</v>
      </c>
      <c r="D18" s="101" t="s">
        <v>2344</v>
      </c>
      <c r="E18" s="101" t="b">
        <v>0</v>
      </c>
      <c r="F18" s="102" t="b">
        <v>0</v>
      </c>
      <c r="G18" s="2" t="s">
        <v>2392</v>
      </c>
      <c r="H18" s="2" t="str">
        <f ca="1">IFERROR(VLOOKUP(DB_TBL_DATA_FIELDS[[#This Row],[FIELD_ID]],INDIRECT(DB_TBL_DATA_FIELDS[[#This Row],[SHEET_REF_CALC]]&amp;"!A:B"),2,FALSE),"")</f>
        <v/>
      </c>
      <c r="I18" s="103"/>
      <c r="J18" s="103" t="b">
        <f ca="1">(DB_TBL_DATA_FIELDS[[#This Row],[FIELD_VALUE_RAW]]="")</f>
        <v>1</v>
      </c>
      <c r="K18" s="103" t="s">
        <v>11</v>
      </c>
      <c r="L18" s="101" t="b">
        <f ca="1">AND(IF(DB_TBL_DATA_FIELDS[[#This Row],[FIELD_VALID_CUSTOM_LOGIC]]="",TRUE,DB_TBL_DATA_FIELDS[[#This Row],[FIELD_VALID_CUSTOM_LOGIC]]),DB_TBL_DATA_FIELDS[[#This Row],[RANGE_VALIDATION_PASSED_FLAG]])</f>
        <v>1</v>
      </c>
      <c r="M18" s="10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18" s="101">
        <f ca="1">IF(DB_TBL_DATA_FIELDS[[#This Row],[SHEET_REF_CALC]]="","",IF(DB_TBL_DATA_FIELDS[[#This Row],[FIELD_EMPTY_FLAG]],IF(NOT(DB_TBL_DATA_FIELDS[[#This Row],[FIELD_REQ_FLAG]]),-1,1),IF(NOT(DB_TBL_DATA_FIELDS[[#This Row],[FIELD_VALID_FLAG]]),0,2)))</f>
        <v>-1</v>
      </c>
      <c r="O18" s="101" t="str">
        <f ca="1">IFERROR(VLOOKUP(DB_TBL_DATA_FIELDS[[#This Row],[FIELD_STATUS_CODE]],DB_TBL_CONFIG_FIELDSTATUSCODES[#All],3,FALSE),"")</f>
        <v>Optional</v>
      </c>
      <c r="P18" s="101" t="str">
        <f ca="1">IFERROR(VLOOKUP(DB_TBL_DATA_FIELDS[[#This Row],[FIELD_STATUS_CODE]],DB_TBL_CONFIG_FIELDSTATUSCODES[#All],4,FALSE),"")</f>
        <v xml:space="preserve"> </v>
      </c>
      <c r="Q18" s="101" t="b">
        <f>TRUE</f>
        <v>1</v>
      </c>
      <c r="R18" s="101" t="b">
        <f>TRUE</f>
        <v>1</v>
      </c>
      <c r="S18" s="101" t="s">
        <v>11</v>
      </c>
      <c r="T18" s="101">
        <f ca="1">IF(DB_TBL_DATA_FIELDS[[#This Row],[RANGE_VALIDATION_FLAG]]="Text",LEN(DB_TBL_DATA_FIELDS[[#This Row],[FIELD_VALUE_RAW]]),IFERROR(VALUE(DB_TBL_DATA_FIELDS[[#This Row],[FIELD_VALUE_RAW]]),-1))</f>
        <v>0</v>
      </c>
      <c r="U18" s="101">
        <v>0</v>
      </c>
      <c r="V18" s="101">
        <v>50</v>
      </c>
      <c r="W18" s="101" t="b">
        <f ca="1">IF(NOT(DB_TBL_DATA_FIELDS[[#This Row],[RANGE_VALIDATION_ON_FLAG]]),TRUE,
AND(DB_TBL_DATA_FIELDS[[#This Row],[RANGE_VALUE_LEN]]&gt;=DB_TBL_DATA_FIELDS[[#This Row],[RANGE_VALIDATION_MIN]],DB_TBL_DATA_FIELDS[[#This Row],[RANGE_VALUE_LEN]]&lt;=DB_TBL_DATA_FIELDS[[#This Row],[RANGE_VALIDATION_MAX]]))</f>
        <v>1</v>
      </c>
      <c r="X18" s="101">
        <v>1</v>
      </c>
      <c r="Y18" s="101">
        <f ca="1">IF(DB_TBL_DATA_FIELDS[[#This Row],[PCT_CALC_SHOW_STATUS_CODE]]=1,
DB_TBL_DATA_FIELDS[[#This Row],[FIELD_STATUS_CODE]],
IF(AND(DB_TBL_DATA_FIELDS[[#This Row],[PCT_CALC_SHOW_STATUS_CODE]]=2,DB_TBL_DATA_FIELDS[[#This Row],[FIELD_STATUS_CODE]]=0),
DB_TBL_DATA_FIELDS[[#This Row],[FIELD_STATUS_CODE]],
"")
)</f>
        <v>-1</v>
      </c>
      <c r="Z18" s="101"/>
      <c r="AA18" s="103" t="s">
        <v>147</v>
      </c>
      <c r="AB18" s="2" t="s">
        <v>2233</v>
      </c>
      <c r="AC18" s="101" t="s">
        <v>2346</v>
      </c>
    </row>
    <row r="19" spans="1:29" x14ac:dyDescent="0.3">
      <c r="A19" s="1" t="s">
        <v>2226</v>
      </c>
      <c r="B19" s="128"/>
      <c r="C19" s="1" t="str">
        <f>IF($H$9&lt;&gt;"I",IF(DB_TBL_DATA_FIELDS[[#This Row],[SHEET_REF_WISH]]&lt;&gt;"",DB_TBL_DATA_FIELDS[[#This Row],[SHEET_REF_WISH]],""),IF(DB_TBL_DATA_FIELDS[[#This Row],[SHEET_REF_IDEA]]&lt;&gt;"",DB_TBL_DATA_FIELDS[[#This Row],[SHEET_REF_IDEA]],""))</f>
        <v>WISH</v>
      </c>
      <c r="D19" s="101" t="s">
        <v>2345</v>
      </c>
      <c r="E19" s="101" t="b">
        <v>0</v>
      </c>
      <c r="F19" s="102" t="b">
        <v>0</v>
      </c>
      <c r="G19" s="2" t="s">
        <v>2393</v>
      </c>
      <c r="H19" s="2" t="str">
        <f ca="1">IFERROR(VLOOKUP(DB_TBL_DATA_FIELDS[[#This Row],[FIELD_ID]],INDIRECT(DB_TBL_DATA_FIELDS[[#This Row],[SHEET_REF_CALC]]&amp;"!A:B"),2,FALSE),"")</f>
        <v/>
      </c>
      <c r="I19" s="103"/>
      <c r="J19" s="103" t="b">
        <f ca="1">(DB_TBL_DATA_FIELDS[[#This Row],[FIELD_VALUE_RAW]]="")</f>
        <v>1</v>
      </c>
      <c r="K19" s="103" t="s">
        <v>11</v>
      </c>
      <c r="L19" s="101" t="b">
        <f ca="1">AND(IF(DB_TBL_DATA_FIELDS[[#This Row],[FIELD_VALID_CUSTOM_LOGIC]]="",TRUE,DB_TBL_DATA_FIELDS[[#This Row],[FIELD_VALID_CUSTOM_LOGIC]]),DB_TBL_DATA_FIELDS[[#This Row],[RANGE_VALIDATION_PASSED_FLAG]])</f>
        <v>1</v>
      </c>
      <c r="M19" s="10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19" s="101">
        <f ca="1">IF(DB_TBL_DATA_FIELDS[[#This Row],[SHEET_REF_CALC]]="","",IF(DB_TBL_DATA_FIELDS[[#This Row],[FIELD_EMPTY_FLAG]],IF(NOT(DB_TBL_DATA_FIELDS[[#This Row],[FIELD_REQ_FLAG]]),-1,1),IF(NOT(DB_TBL_DATA_FIELDS[[#This Row],[FIELD_VALID_FLAG]]),0,2)))</f>
        <v>-1</v>
      </c>
      <c r="O19" s="101" t="str">
        <f ca="1">IFERROR(VLOOKUP(DB_TBL_DATA_FIELDS[[#This Row],[FIELD_STATUS_CODE]],DB_TBL_CONFIG_FIELDSTATUSCODES[#All],3,FALSE),"")</f>
        <v>Optional</v>
      </c>
      <c r="P19" s="101" t="str">
        <f ca="1">IFERROR(VLOOKUP(DB_TBL_DATA_FIELDS[[#This Row],[FIELD_STATUS_CODE]],DB_TBL_CONFIG_FIELDSTATUSCODES[#All],4,FALSE),"")</f>
        <v xml:space="preserve"> </v>
      </c>
      <c r="Q19" s="101" t="b">
        <f>TRUE</f>
        <v>1</v>
      </c>
      <c r="R19" s="101" t="b">
        <f>TRUE</f>
        <v>1</v>
      </c>
      <c r="S19" s="101" t="s">
        <v>11</v>
      </c>
      <c r="T19" s="101">
        <f ca="1">IF(DB_TBL_DATA_FIELDS[[#This Row],[RANGE_VALIDATION_FLAG]]="Text",LEN(DB_TBL_DATA_FIELDS[[#This Row],[FIELD_VALUE_RAW]]),IFERROR(VALUE(DB_TBL_DATA_FIELDS[[#This Row],[FIELD_VALUE_RAW]]),-1))</f>
        <v>0</v>
      </c>
      <c r="U19" s="101">
        <v>0</v>
      </c>
      <c r="V19" s="101">
        <v>50</v>
      </c>
      <c r="W19" s="101" t="b">
        <f ca="1">IF(NOT(DB_TBL_DATA_FIELDS[[#This Row],[RANGE_VALIDATION_ON_FLAG]]),TRUE,
AND(DB_TBL_DATA_FIELDS[[#This Row],[RANGE_VALUE_LEN]]&gt;=DB_TBL_DATA_FIELDS[[#This Row],[RANGE_VALIDATION_MIN]],DB_TBL_DATA_FIELDS[[#This Row],[RANGE_VALUE_LEN]]&lt;=DB_TBL_DATA_FIELDS[[#This Row],[RANGE_VALIDATION_MAX]]))</f>
        <v>1</v>
      </c>
      <c r="X19" s="101">
        <v>1</v>
      </c>
      <c r="Y19" s="101">
        <f ca="1">IF(DB_TBL_DATA_FIELDS[[#This Row],[PCT_CALC_SHOW_STATUS_CODE]]=1,
DB_TBL_DATA_FIELDS[[#This Row],[FIELD_STATUS_CODE]],
IF(AND(DB_TBL_DATA_FIELDS[[#This Row],[PCT_CALC_SHOW_STATUS_CODE]]=2,DB_TBL_DATA_FIELDS[[#This Row],[FIELD_STATUS_CODE]]=0),
DB_TBL_DATA_FIELDS[[#This Row],[FIELD_STATUS_CODE]],
"")
)</f>
        <v>-1</v>
      </c>
      <c r="Z19" s="101"/>
      <c r="AA19" s="103" t="s">
        <v>147</v>
      </c>
      <c r="AB19" s="2" t="s">
        <v>2233</v>
      </c>
      <c r="AC19" s="101" t="s">
        <v>2346</v>
      </c>
    </row>
    <row r="20" spans="1:29" x14ac:dyDescent="0.3">
      <c r="A20" s="1" t="s">
        <v>2226</v>
      </c>
      <c r="B20" s="128"/>
      <c r="C20" s="1" t="str">
        <f>IF($H$9&lt;&gt;"I",IF(DB_TBL_DATA_FIELDS[[#This Row],[SHEET_REF_WISH]]&lt;&gt;"",DB_TBL_DATA_FIELDS[[#This Row],[SHEET_REF_WISH]],""),IF(DB_TBL_DATA_FIELDS[[#This Row],[SHEET_REF_IDEA]]&lt;&gt;"",DB_TBL_DATA_FIELDS[[#This Row],[SHEET_REF_IDEA]],""))</f>
        <v>WISH</v>
      </c>
      <c r="D20" s="1" t="s">
        <v>2238</v>
      </c>
      <c r="E20" s="1" t="b">
        <v>0</v>
      </c>
      <c r="F20" s="11" t="b">
        <v>1</v>
      </c>
      <c r="G20" s="2" t="s">
        <v>2394</v>
      </c>
      <c r="H20" s="2" t="str">
        <f ca="1">IFERROR(VLOOKUP(DB_TBL_DATA_FIELDS[[#This Row],[FIELD_ID]],INDIRECT(DB_TBL_DATA_FIELDS[[#This Row],[SHEET_REF_CALC]]&amp;"!A:B"),2,FALSE),"")</f>
        <v/>
      </c>
      <c r="J20" s="2" t="b">
        <f ca="1">(DB_TBL_DATA_FIELDS[[#This Row],[FIELD_VALUE_RAW]]="")</f>
        <v>1</v>
      </c>
      <c r="K20" s="2" t="s">
        <v>42</v>
      </c>
      <c r="L20" s="1" t="b">
        <f ca="1">AND(IF(DB_TBL_DATA_FIELDS[[#This Row],[FIELD_VALID_CUSTOM_LOGIC]]="",TRUE,DB_TBL_DATA_FIELDS[[#This Row],[FIELD_VALID_CUSTOM_LOGIC]]),DB_TBL_DATA_FIELDS[[#This Row],[RANGE_VALIDATION_PASSED_FLAG]])</f>
        <v>0</v>
      </c>
      <c r="M20"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20" s="1">
        <f ca="1">IF(DB_TBL_DATA_FIELDS[[#This Row],[SHEET_REF_CALC]]="","",IF(DB_TBL_DATA_FIELDS[[#This Row],[FIELD_EMPTY_FLAG]],IF(NOT(DB_TBL_DATA_FIELDS[[#This Row],[FIELD_REQ_FLAG]]),-1,1),IF(NOT(DB_TBL_DATA_FIELDS[[#This Row],[FIELD_VALID_FLAG]]),0,2)))</f>
        <v>1</v>
      </c>
      <c r="O20" s="1" t="str">
        <f ca="1">IFERROR(VLOOKUP(DB_TBL_DATA_FIELDS[[#This Row],[FIELD_STATUS_CODE]],DB_TBL_CONFIG_FIELDSTATUSCODES[#All],3,FALSE),"")</f>
        <v>Required</v>
      </c>
      <c r="P20" s="1" t="str">
        <f ca="1">IFERROR(VLOOKUP(DB_TBL_DATA_FIELDS[[#This Row],[FIELD_STATUS_CODE]],DB_TBL_CONFIG_FIELDSTATUSCODES[#All],4,FALSE),"")</f>
        <v>i</v>
      </c>
      <c r="Q20" s="1" t="b">
        <f>TRUE</f>
        <v>1</v>
      </c>
      <c r="R20" s="1" t="b">
        <f>TRUE</f>
        <v>1</v>
      </c>
      <c r="S20" s="1" t="s">
        <v>42</v>
      </c>
      <c r="T20" s="1">
        <f ca="1">IF(DB_TBL_DATA_FIELDS[[#This Row],[RANGE_VALIDATION_FLAG]]="Text",LEN(DB_TBL_DATA_FIELDS[[#This Row],[FIELD_VALUE_RAW]]),IFERROR(VALUE(DB_TBL_DATA_FIELDS[[#This Row],[FIELD_VALUE_RAW]]),-1))</f>
        <v>-1</v>
      </c>
      <c r="U20" s="1">
        <v>0.01</v>
      </c>
      <c r="V20" s="1">
        <v>999999999999</v>
      </c>
      <c r="W20" s="1" t="b">
        <f ca="1">IF(NOT(DB_TBL_DATA_FIELDS[[#This Row],[RANGE_VALIDATION_ON_FLAG]]),TRUE,
AND(DB_TBL_DATA_FIELDS[[#This Row],[RANGE_VALUE_LEN]]&gt;=DB_TBL_DATA_FIELDS[[#This Row],[RANGE_VALIDATION_MIN]],DB_TBL_DATA_FIELDS[[#This Row],[RANGE_VALUE_LEN]]&lt;=DB_TBL_DATA_FIELDS[[#This Row],[RANGE_VALIDATION_MAX]]))</f>
        <v>0</v>
      </c>
      <c r="X20" s="1">
        <v>1</v>
      </c>
      <c r="Y20" s="1">
        <f ca="1">IF(DB_TBL_DATA_FIELDS[[#This Row],[PCT_CALC_SHOW_STATUS_CODE]]=1,
DB_TBL_DATA_FIELDS[[#This Row],[FIELD_STATUS_CODE]],
IF(AND(DB_TBL_DATA_FIELDS[[#This Row],[PCT_CALC_SHOW_STATUS_CODE]]=2,DB_TBL_DATA_FIELDS[[#This Row],[FIELD_STATUS_CODE]]=0),
DB_TBL_DATA_FIELDS[[#This Row],[FIELD_STATUS_CODE]],
"")
)</f>
        <v>1</v>
      </c>
      <c r="AA20" s="2">
        <v>4</v>
      </c>
      <c r="AB20" s="2" t="s">
        <v>2233</v>
      </c>
      <c r="AC20" s="1" t="s">
        <v>2240</v>
      </c>
    </row>
    <row r="21" spans="1:29" x14ac:dyDescent="0.3">
      <c r="A21" s="1" t="s">
        <v>2226</v>
      </c>
      <c r="B21" s="128"/>
      <c r="C21" s="1" t="str">
        <f>IF($H$9&lt;&gt;"I",IF(DB_TBL_DATA_FIELDS[[#This Row],[SHEET_REF_WISH]]&lt;&gt;"",DB_TBL_DATA_FIELDS[[#This Row],[SHEET_REF_WISH]],""),IF(DB_TBL_DATA_FIELDS[[#This Row],[SHEET_REF_IDEA]]&lt;&gt;"",DB_TBL_DATA_FIELDS[[#This Row],[SHEET_REF_IDEA]],""))</f>
        <v>WISH</v>
      </c>
      <c r="D21" s="1" t="s">
        <v>2242</v>
      </c>
      <c r="E21" s="1" t="b">
        <v>0</v>
      </c>
      <c r="F21" s="22" t="b">
        <f ca="1">IF(AND(NOT(J18),I18),TRUE,FALSE)</f>
        <v>0</v>
      </c>
      <c r="G21" s="2" t="s">
        <v>2395</v>
      </c>
      <c r="H21" s="2" t="str">
        <f ca="1">IFERROR(VLOOKUP(DB_TBL_DATA_FIELDS[[#This Row],[FIELD_ID]],INDIRECT(DB_TBL_DATA_FIELDS[[#This Row],[SHEET_REF_CALC]]&amp;"!A:B"),2,FALSE),"")</f>
        <v/>
      </c>
      <c r="I21" s="14" t="str">
        <f ca="1">IF(DB_TBL_DATA_FIELDS[[#This Row],[FIELD_EMPTY_FLAG]],"",DB_TBL_DATA_FIELDS[[#This Row],[FIELD_REQ_FLAG]])</f>
        <v/>
      </c>
      <c r="J21" s="2" t="b">
        <f ca="1">(DB_TBL_DATA_FIELDS[[#This Row],[FIELD_VALUE_RAW]]="")</f>
        <v>1</v>
      </c>
      <c r="K21" s="2" t="s">
        <v>42</v>
      </c>
      <c r="L21" s="1" t="b">
        <f ca="1">AND(IF(DB_TBL_DATA_FIELDS[[#This Row],[FIELD_VALID_CUSTOM_LOGIC]]="",TRUE,DB_TBL_DATA_FIELDS[[#This Row],[FIELD_VALID_CUSTOM_LOGIC]]),DB_TBL_DATA_FIELDS[[#This Row],[RANGE_VALIDATION_PASSED_FLAG]])</f>
        <v>0</v>
      </c>
      <c r="M21"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21" s="1">
        <f ca="1">IF(DB_TBL_DATA_FIELDS[[#This Row],[SHEET_REF_CALC]]="","",IF(DB_TBL_DATA_FIELDS[[#This Row],[FIELD_EMPTY_FLAG]],IF(NOT(DB_TBL_DATA_FIELDS[[#This Row],[FIELD_REQ_FLAG]]),-1,1),IF(NOT(DB_TBL_DATA_FIELDS[[#This Row],[FIELD_VALID_FLAG]]),0,2)))</f>
        <v>-1</v>
      </c>
      <c r="O21" s="1" t="str">
        <f ca="1">IFERROR(VLOOKUP(DB_TBL_DATA_FIELDS[[#This Row],[FIELD_STATUS_CODE]],DB_TBL_CONFIG_FIELDSTATUSCODES[#All],3,FALSE),"")</f>
        <v>Optional</v>
      </c>
      <c r="P21" s="1" t="str">
        <f ca="1">IFERROR(VLOOKUP(DB_TBL_DATA_FIELDS[[#This Row],[FIELD_STATUS_CODE]],DB_TBL_CONFIG_FIELDSTATUSCODES[#All],4,FALSE),"")</f>
        <v xml:space="preserve"> </v>
      </c>
      <c r="Q21" s="1" t="b">
        <f>TRUE</f>
        <v>1</v>
      </c>
      <c r="R21" s="1" t="b">
        <f>TRUE</f>
        <v>1</v>
      </c>
      <c r="S21" s="1" t="s">
        <v>42</v>
      </c>
      <c r="T21" s="1">
        <f ca="1">IF(DB_TBL_DATA_FIELDS[[#This Row],[RANGE_VALIDATION_FLAG]]="Text",LEN(DB_TBL_DATA_FIELDS[[#This Row],[FIELD_VALUE_RAW]]),IFERROR(VALUE(DB_TBL_DATA_FIELDS[[#This Row],[FIELD_VALUE_RAW]]),-1))</f>
        <v>-1</v>
      </c>
      <c r="U21" s="1">
        <v>0.01</v>
      </c>
      <c r="V21" s="1">
        <v>999999999999</v>
      </c>
      <c r="W21" s="1" t="b">
        <f ca="1">IF(NOT(DB_TBL_DATA_FIELDS[[#This Row],[RANGE_VALIDATION_ON_FLAG]]),TRUE,
AND(DB_TBL_DATA_FIELDS[[#This Row],[RANGE_VALUE_LEN]]&gt;=DB_TBL_DATA_FIELDS[[#This Row],[RANGE_VALIDATION_MIN]],DB_TBL_DATA_FIELDS[[#This Row],[RANGE_VALUE_LEN]]&lt;=DB_TBL_DATA_FIELDS[[#This Row],[RANGE_VALIDATION_MAX]]))</f>
        <v>0</v>
      </c>
      <c r="X21" s="1">
        <v>1</v>
      </c>
      <c r="Y21" s="1">
        <f ca="1">IF(DB_TBL_DATA_FIELDS[[#This Row],[PCT_CALC_SHOW_STATUS_CODE]]=1,
DB_TBL_DATA_FIELDS[[#This Row],[FIELD_STATUS_CODE]],
IF(AND(DB_TBL_DATA_FIELDS[[#This Row],[PCT_CALC_SHOW_STATUS_CODE]]=2,DB_TBL_DATA_FIELDS[[#This Row],[FIELD_STATUS_CODE]]=0),
DB_TBL_DATA_FIELDS[[#This Row],[FIELD_STATUS_CODE]],
"")
)</f>
        <v>-1</v>
      </c>
      <c r="AA21" s="2">
        <v>4</v>
      </c>
      <c r="AB21" s="2" t="s">
        <v>2233</v>
      </c>
      <c r="AC21" s="1" t="s">
        <v>2240</v>
      </c>
    </row>
    <row r="22" spans="1:29" x14ac:dyDescent="0.3">
      <c r="A22" s="1" t="s">
        <v>2226</v>
      </c>
      <c r="B22" s="128"/>
      <c r="C22" s="1" t="str">
        <f>IF($H$9&lt;&gt;"I",IF(DB_TBL_DATA_FIELDS[[#This Row],[SHEET_REF_WISH]]&lt;&gt;"",DB_TBL_DATA_FIELDS[[#This Row],[SHEET_REF_WISH]],""),IF(DB_TBL_DATA_FIELDS[[#This Row],[SHEET_REF_IDEA]]&lt;&gt;"",DB_TBL_DATA_FIELDS[[#This Row],[SHEET_REF_IDEA]],""))</f>
        <v>WISH</v>
      </c>
      <c r="D22" s="1" t="s">
        <v>2243</v>
      </c>
      <c r="E22" s="1" t="b">
        <v>0</v>
      </c>
      <c r="F22" s="22" t="b">
        <f ca="1">IF(AND(NOT(J19),I19),TRUE,FALSE)</f>
        <v>0</v>
      </c>
      <c r="G22" s="2" t="s">
        <v>2396</v>
      </c>
      <c r="H22" s="2" t="str">
        <f ca="1">IFERROR(VLOOKUP(DB_TBL_DATA_FIELDS[[#This Row],[FIELD_ID]],INDIRECT(DB_TBL_DATA_FIELDS[[#This Row],[SHEET_REF_CALC]]&amp;"!A:B"),2,FALSE),"")</f>
        <v/>
      </c>
      <c r="I22" s="14" t="str">
        <f ca="1">IF(DB_TBL_DATA_FIELDS[[#This Row],[FIELD_EMPTY_FLAG]],"",DB_TBL_DATA_FIELDS[[#This Row],[FIELD_REQ_FLAG]])</f>
        <v/>
      </c>
      <c r="J22" s="2" t="b">
        <f ca="1">(DB_TBL_DATA_FIELDS[[#This Row],[FIELD_VALUE_RAW]]="")</f>
        <v>1</v>
      </c>
      <c r="K22" s="2" t="s">
        <v>42</v>
      </c>
      <c r="L22" s="1" t="b">
        <f ca="1">AND(IF(DB_TBL_DATA_FIELDS[[#This Row],[FIELD_VALID_CUSTOM_LOGIC]]="",TRUE,DB_TBL_DATA_FIELDS[[#This Row],[FIELD_VALID_CUSTOM_LOGIC]]),DB_TBL_DATA_FIELDS[[#This Row],[RANGE_VALIDATION_PASSED_FLAG]])</f>
        <v>0</v>
      </c>
      <c r="M22"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22" s="1">
        <f ca="1">IF(DB_TBL_DATA_FIELDS[[#This Row],[SHEET_REF_CALC]]="","",IF(DB_TBL_DATA_FIELDS[[#This Row],[FIELD_EMPTY_FLAG]],IF(NOT(DB_TBL_DATA_FIELDS[[#This Row],[FIELD_REQ_FLAG]]),-1,1),IF(NOT(DB_TBL_DATA_FIELDS[[#This Row],[FIELD_VALID_FLAG]]),0,2)))</f>
        <v>-1</v>
      </c>
      <c r="O22" s="1" t="str">
        <f ca="1">IFERROR(VLOOKUP(DB_TBL_DATA_FIELDS[[#This Row],[FIELD_STATUS_CODE]],DB_TBL_CONFIG_FIELDSTATUSCODES[#All],3,FALSE),"")</f>
        <v>Optional</v>
      </c>
      <c r="P22" s="1" t="str">
        <f ca="1">IFERROR(VLOOKUP(DB_TBL_DATA_FIELDS[[#This Row],[FIELD_STATUS_CODE]],DB_TBL_CONFIG_FIELDSTATUSCODES[#All],4,FALSE),"")</f>
        <v xml:space="preserve"> </v>
      </c>
      <c r="Q22" s="1" t="b">
        <f>TRUE</f>
        <v>1</v>
      </c>
      <c r="R22" s="1" t="b">
        <f>TRUE</f>
        <v>1</v>
      </c>
      <c r="S22" s="1" t="s">
        <v>42</v>
      </c>
      <c r="T22" s="1">
        <f ca="1">IF(DB_TBL_DATA_FIELDS[[#This Row],[RANGE_VALIDATION_FLAG]]="Text",LEN(DB_TBL_DATA_FIELDS[[#This Row],[FIELD_VALUE_RAW]]),IFERROR(VALUE(DB_TBL_DATA_FIELDS[[#This Row],[FIELD_VALUE_RAW]]),-1))</f>
        <v>-1</v>
      </c>
      <c r="U22" s="1">
        <v>0.01</v>
      </c>
      <c r="V22" s="1">
        <v>999999999999</v>
      </c>
      <c r="W22" s="1" t="b">
        <f ca="1">IF(NOT(DB_TBL_DATA_FIELDS[[#This Row],[RANGE_VALIDATION_ON_FLAG]]),TRUE,
AND(DB_TBL_DATA_FIELDS[[#This Row],[RANGE_VALUE_LEN]]&gt;=DB_TBL_DATA_FIELDS[[#This Row],[RANGE_VALIDATION_MIN]],DB_TBL_DATA_FIELDS[[#This Row],[RANGE_VALUE_LEN]]&lt;=DB_TBL_DATA_FIELDS[[#This Row],[RANGE_VALIDATION_MAX]]))</f>
        <v>0</v>
      </c>
      <c r="X22" s="1">
        <v>1</v>
      </c>
      <c r="Y22" s="1">
        <f ca="1">IF(DB_TBL_DATA_FIELDS[[#This Row],[PCT_CALC_SHOW_STATUS_CODE]]=1,
DB_TBL_DATA_FIELDS[[#This Row],[FIELD_STATUS_CODE]],
IF(AND(DB_TBL_DATA_FIELDS[[#This Row],[PCT_CALC_SHOW_STATUS_CODE]]=2,DB_TBL_DATA_FIELDS[[#This Row],[FIELD_STATUS_CODE]]=0),
DB_TBL_DATA_FIELDS[[#This Row],[FIELD_STATUS_CODE]],
"")
)</f>
        <v>-1</v>
      </c>
      <c r="AA22" s="2">
        <v>4</v>
      </c>
      <c r="AB22" s="2" t="s">
        <v>2233</v>
      </c>
      <c r="AC22" s="1" t="s">
        <v>2240</v>
      </c>
    </row>
    <row r="23" spans="1:29" x14ac:dyDescent="0.3">
      <c r="A23" s="1" t="s">
        <v>2226</v>
      </c>
      <c r="B23" s="128" t="s">
        <v>2227</v>
      </c>
      <c r="C23" s="1" t="str">
        <f>IF($H$9&lt;&gt;"I",IF(DB_TBL_DATA_FIELDS[[#This Row],[SHEET_REF_WISH]]&lt;&gt;"",DB_TBL_DATA_FIELDS[[#This Row],[SHEET_REF_WISH]],""),IF(DB_TBL_DATA_FIELDS[[#This Row],[SHEET_REF_IDEA]]&lt;&gt;"",DB_TBL_DATA_FIELDS[[#This Row],[SHEET_REF_IDEA]],""))</f>
        <v>WISH</v>
      </c>
      <c r="D23" s="1" t="s">
        <v>2239</v>
      </c>
      <c r="E23" s="1" t="b">
        <v>1</v>
      </c>
      <c r="F23" s="11" t="b">
        <v>1</v>
      </c>
      <c r="G23" s="2" t="s">
        <v>2386</v>
      </c>
      <c r="H23" s="14" t="str">
        <f ca="1">IF($H$9="W",IF(SUM(M20:M22)&gt;0,SUM(M20:M22),""),IFERROR(VLOOKUP(DB_TBL_DATA_FIELDS[[#This Row],[FIELD_ID]],INDIRECT(DB_TBL_DATA_FIELDS[[#This Row],[SHEET_REF_CALC]]&amp;"!A:B"),2,FALSE),""))</f>
        <v/>
      </c>
      <c r="I23" s="14"/>
      <c r="J23" s="2" t="b">
        <f ca="1">(DB_TBL_DATA_FIELDS[[#This Row],[FIELD_VALUE_RAW]]="")</f>
        <v>1</v>
      </c>
      <c r="K23" s="2" t="s">
        <v>42</v>
      </c>
      <c r="L23" s="1" t="b">
        <f ca="1">AND(IF(DB_TBL_DATA_FIELDS[[#This Row],[FIELD_VALID_CUSTOM_LOGIC]]="",TRUE,DB_TBL_DATA_FIELDS[[#This Row],[FIELD_VALID_CUSTOM_LOGIC]]),DB_TBL_DATA_FIELDS[[#This Row],[RANGE_VALIDATION_PASSED_FLAG]])</f>
        <v>0</v>
      </c>
      <c r="M23"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23" s="1">
        <f ca="1">IF(DB_TBL_DATA_FIELDS[[#This Row],[SHEET_REF_CALC]]="","",IF(DB_TBL_DATA_FIELDS[[#This Row],[FIELD_EMPTY_FLAG]],IF(NOT(DB_TBL_DATA_FIELDS[[#This Row],[FIELD_REQ_FLAG]]),-1,1),IF(NOT(DB_TBL_DATA_FIELDS[[#This Row],[FIELD_VALID_FLAG]]),0,2)))</f>
        <v>1</v>
      </c>
      <c r="O23" s="1" t="str">
        <f ca="1">IFERROR(VLOOKUP(DB_TBL_DATA_FIELDS[[#This Row],[FIELD_STATUS_CODE]],DB_TBL_CONFIG_FIELDSTATUSCODES[#All],3,FALSE),"")</f>
        <v>Required</v>
      </c>
      <c r="P23" s="1" t="str">
        <f ca="1">IFERROR(VLOOKUP(DB_TBL_DATA_FIELDS[[#This Row],[FIELD_STATUS_CODE]],DB_TBL_CONFIG_FIELDSTATUSCODES[#All],4,FALSE),"")</f>
        <v>i</v>
      </c>
      <c r="Q23" s="1" t="b">
        <f>TRUE</f>
        <v>1</v>
      </c>
      <c r="R23" s="1" t="b">
        <f>TRUE</f>
        <v>1</v>
      </c>
      <c r="S23" s="1" t="s">
        <v>42</v>
      </c>
      <c r="T23" s="1">
        <f ca="1">IF(DB_TBL_DATA_FIELDS[[#This Row],[RANGE_VALIDATION_FLAG]]="Text",LEN(DB_TBL_DATA_FIELDS[[#This Row],[FIELD_VALUE_RAW]]),IFERROR(VALUE(DB_TBL_DATA_FIELDS[[#This Row],[FIELD_VALUE_RAW]]),-1))</f>
        <v>-1</v>
      </c>
      <c r="U23" s="1">
        <v>10000</v>
      </c>
      <c r="V23" s="1">
        <v>999999999999</v>
      </c>
      <c r="W23" s="1" t="b">
        <f ca="1">IF(NOT(DB_TBL_DATA_FIELDS[[#This Row],[RANGE_VALIDATION_ON_FLAG]]),TRUE,
AND(DB_TBL_DATA_FIELDS[[#This Row],[RANGE_VALUE_LEN]]&gt;=DB_TBL_DATA_FIELDS[[#This Row],[RANGE_VALIDATION_MIN]],DB_TBL_DATA_FIELDS[[#This Row],[RANGE_VALUE_LEN]]&lt;=DB_TBL_DATA_FIELDS[[#This Row],[RANGE_VALIDATION_MAX]]))</f>
        <v>0</v>
      </c>
      <c r="X23" s="1">
        <v>1</v>
      </c>
      <c r="Y23" s="1">
        <f ca="1">IF(DB_TBL_DATA_FIELDS[[#This Row],[PCT_CALC_SHOW_STATUS_CODE]]=1,
DB_TBL_DATA_FIELDS[[#This Row],[FIELD_STATUS_CODE]],
IF(AND(DB_TBL_DATA_FIELDS[[#This Row],[PCT_CALC_SHOW_STATUS_CODE]]=2,DB_TBL_DATA_FIELDS[[#This Row],[FIELD_STATUS_CODE]]=0),
DB_TBL_DATA_FIELDS[[#This Row],[FIELD_STATUS_CODE]],
"")
)</f>
        <v>1</v>
      </c>
      <c r="Z23" s="36" t="str">
        <f ca="1">IF(DB_TBL_DATA_FIELDS[[#This Row],[FIELD_STATUS_CODE]]=0,IF(NOT(DB_TBL_DATA_FIELDS[[#This Row],[FIELD_VALID_CUSTOM_LOGIC]]),
"Homebuyer Contribution should be greater than or equal to $10,000",""),"")</f>
        <v/>
      </c>
      <c r="AA23" s="2">
        <v>4</v>
      </c>
      <c r="AB23" s="2" t="s">
        <v>2233</v>
      </c>
      <c r="AC23" s="1" t="s">
        <v>2241</v>
      </c>
    </row>
    <row r="24" spans="1:29" x14ac:dyDescent="0.3">
      <c r="A24" s="1" t="s">
        <v>2226</v>
      </c>
      <c r="B24" s="128" t="s">
        <v>2227</v>
      </c>
      <c r="C24" s="1" t="str">
        <f>IF($H$9&lt;&gt;"I",IF(DB_TBL_DATA_FIELDS[[#This Row],[SHEET_REF_WISH]]&lt;&gt;"",DB_TBL_DATA_FIELDS[[#This Row],[SHEET_REF_WISH]],""),IF(DB_TBL_DATA_FIELDS[[#This Row],[SHEET_REF_IDEA]]&lt;&gt;"",DB_TBL_DATA_FIELDS[[#This Row],[SHEET_REF_IDEA]],""))</f>
        <v>WISH</v>
      </c>
      <c r="D24" s="1" t="s">
        <v>2244</v>
      </c>
      <c r="E24" s="1" t="b">
        <v>1</v>
      </c>
      <c r="F24" s="11" t="b">
        <v>1</v>
      </c>
      <c r="G24" s="2" t="s">
        <v>2247</v>
      </c>
      <c r="H24" s="2" t="str">
        <f ca="1">IFERROR(VLOOKUP(DB_TBL_DATA_FIELDS[[#This Row],[FIELD_ID]],INDIRECT(DB_TBL_DATA_FIELDS[[#This Row],[SHEET_REF_CALC]]&amp;"!A:B"),2,FALSE),"")</f>
        <v/>
      </c>
      <c r="I24" s="14" t="str">
        <f ca="1">IF(DB_TBL_DATA_FIELDS[[#This Row],[FIELD_VALUE_RAW]]="","",
(DB_TBL_DATA_FIELDS[[#This Row],[FIELD_VALUE_RAW]])&lt;=CONFIG_SUBSIDY_MAX_TOTAL)</f>
        <v/>
      </c>
      <c r="J24" s="2" t="b">
        <f ca="1">(DB_TBL_DATA_FIELDS[[#This Row],[FIELD_VALUE_RAW]]="")</f>
        <v>1</v>
      </c>
      <c r="K24" s="2" t="s">
        <v>42</v>
      </c>
      <c r="L24" s="1" t="b">
        <f ca="1">AND(IF(DB_TBL_DATA_FIELDS[[#This Row],[FIELD_VALID_CUSTOM_LOGIC]]="",TRUE,DB_TBL_DATA_FIELDS[[#This Row],[FIELD_VALID_CUSTOM_LOGIC]]),DB_TBL_DATA_FIELDS[[#This Row],[RANGE_VALIDATION_PASSED_FLAG]])</f>
        <v>0</v>
      </c>
      <c r="M24"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24" s="1">
        <f ca="1">IF(DB_TBL_DATA_FIELDS[[#This Row],[SHEET_REF_CALC]]="","",IF(DB_TBL_DATA_FIELDS[[#This Row],[FIELD_EMPTY_FLAG]],IF(NOT(DB_TBL_DATA_FIELDS[[#This Row],[FIELD_REQ_FLAG]]),-1,1),IF(NOT(DB_TBL_DATA_FIELDS[[#This Row],[FIELD_VALID_FLAG]]),0,2)))</f>
        <v>1</v>
      </c>
      <c r="O24" s="1" t="str">
        <f ca="1">IFERROR(VLOOKUP(DB_TBL_DATA_FIELDS[[#This Row],[FIELD_STATUS_CODE]],DB_TBL_CONFIG_FIELDSTATUSCODES[#All],3,FALSE),"")</f>
        <v>Required</v>
      </c>
      <c r="P24" s="1" t="str">
        <f ca="1">IFERROR(VLOOKUP(DB_TBL_DATA_FIELDS[[#This Row],[FIELD_STATUS_CODE]],DB_TBL_CONFIG_FIELDSTATUSCODES[#All],4,FALSE),"")</f>
        <v>i</v>
      </c>
      <c r="Q24" s="1" t="b">
        <f>TRUE</f>
        <v>1</v>
      </c>
      <c r="R24" s="1" t="b">
        <f>TRUE</f>
        <v>1</v>
      </c>
      <c r="S24" s="1" t="s">
        <v>42</v>
      </c>
      <c r="T24" s="1">
        <f ca="1">IF(DB_TBL_DATA_FIELDS[[#This Row],[RANGE_VALIDATION_FLAG]]="Text",LEN(DB_TBL_DATA_FIELDS[[#This Row],[FIELD_VALUE_RAW]]),IFERROR(VALUE(DB_TBL_DATA_FIELDS[[#This Row],[FIELD_VALUE_RAW]]),-1))</f>
        <v>-1</v>
      </c>
      <c r="U24" s="1">
        <v>0.01</v>
      </c>
      <c r="V24" s="35">
        <v>50000</v>
      </c>
      <c r="W24" s="1" t="b">
        <f ca="1">IF(NOT(DB_TBL_DATA_FIELDS[[#This Row],[RANGE_VALIDATION_ON_FLAG]]),TRUE,
AND(DB_TBL_DATA_FIELDS[[#This Row],[RANGE_VALUE_LEN]]&gt;=DB_TBL_DATA_FIELDS[[#This Row],[RANGE_VALIDATION_MIN]],DB_TBL_DATA_FIELDS[[#This Row],[RANGE_VALUE_LEN]]&lt;=DB_TBL_DATA_FIELDS[[#This Row],[RANGE_VALIDATION_MAX]]))</f>
        <v>0</v>
      </c>
      <c r="X24" s="1">
        <v>1</v>
      </c>
      <c r="Y24" s="1">
        <f ca="1">IF(DB_TBL_DATA_FIELDS[[#This Row],[PCT_CALC_SHOW_STATUS_CODE]]=1,
DB_TBL_DATA_FIELDS[[#This Row],[FIELD_STATUS_CODE]],
IF(AND(DB_TBL_DATA_FIELDS[[#This Row],[PCT_CALC_SHOW_STATUS_CODE]]=2,DB_TBL_DATA_FIELDS[[#This Row],[FIELD_STATUS_CODE]]=0),
DB_TBL_DATA_FIELDS[[#This Row],[FIELD_STATUS_CODE]],
"")
)</f>
        <v>1</v>
      </c>
      <c r="AA24" s="2">
        <v>5</v>
      </c>
      <c r="AB24" s="2" t="s">
        <v>2233</v>
      </c>
    </row>
    <row r="25" spans="1:29" x14ac:dyDescent="0.3">
      <c r="B25" s="128" t="s">
        <v>2227</v>
      </c>
      <c r="C25" s="1" t="str">
        <f>IF($H$9&lt;&gt;"I",IF(DB_TBL_DATA_FIELDS[[#This Row],[SHEET_REF_WISH]]&lt;&gt;"",DB_TBL_DATA_FIELDS[[#This Row],[SHEET_REF_WISH]],""),IF(DB_TBL_DATA_FIELDS[[#This Row],[SHEET_REF_IDEA]]&lt;&gt;"",DB_TBL_DATA_FIELDS[[#This Row],[SHEET_REF_IDEA]],""))</f>
        <v/>
      </c>
      <c r="D25" s="1" t="s">
        <v>2245</v>
      </c>
      <c r="E25" s="1" t="b">
        <v>1</v>
      </c>
      <c r="F25" s="11" t="b">
        <v>1</v>
      </c>
      <c r="G25" s="2" t="s">
        <v>2387</v>
      </c>
      <c r="H25" s="2" t="str">
        <f ca="1">IFERROR(TEXT(VLOOKUP(DB_TBL_DATA_FIELDS[[#This Row],[FIELD_ID]],INDIRECT(DB_TBL_DATA_FIELDS[[#This Row],[SHEET_REF_CALC]]&amp;"!A:B"),2,FALSE),"MM/DD/YYYY"),"")</f>
        <v/>
      </c>
      <c r="J25" s="2" t="b">
        <f ca="1">(DB_TBL_DATA_FIELDS[[#This Row],[FIELD_VALUE_RAW]]="")</f>
        <v>1</v>
      </c>
      <c r="K25" s="2" t="s">
        <v>36</v>
      </c>
      <c r="L25" s="1" t="b">
        <f ca="1">AND(IF(DB_TBL_DATA_FIELDS[[#This Row],[FIELD_VALID_CUSTOM_LOGIC]]="",TRUE,DB_TBL_DATA_FIELDS[[#This Row],[FIELD_VALID_CUSTOM_LOGIC]]),DB_TBL_DATA_FIELDS[[#This Row],[RANGE_VALIDATION_PASSED_FLAG]])</f>
        <v>1</v>
      </c>
      <c r="M25"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25" s="1" t="str">
        <f>IF(DB_TBL_DATA_FIELDS[[#This Row],[SHEET_REF_CALC]]="","",IF(DB_TBL_DATA_FIELDS[[#This Row],[FIELD_EMPTY_FLAG]],IF(NOT(DB_TBL_DATA_FIELDS[[#This Row],[FIELD_REQ_FLAG]]),-1,1),IF(NOT(DB_TBL_DATA_FIELDS[[#This Row],[FIELD_VALID_FLAG]]),0,2)))</f>
        <v/>
      </c>
      <c r="O25" s="1" t="str">
        <f>IFERROR(VLOOKUP(DB_TBL_DATA_FIELDS[[#This Row],[FIELD_STATUS_CODE]],DB_TBL_CONFIG_FIELDSTATUSCODES[#All],3,FALSE),"")</f>
        <v/>
      </c>
      <c r="P25" s="1" t="str">
        <f>IFERROR(VLOOKUP(DB_TBL_DATA_FIELDS[[#This Row],[FIELD_STATUS_CODE]],DB_TBL_CONFIG_FIELDSTATUSCODES[#All],4,FALSE),"")</f>
        <v/>
      </c>
      <c r="Q25" s="1" t="b">
        <f>TRUE</f>
        <v>1</v>
      </c>
      <c r="R25" s="1" t="b">
        <f>TRUE</f>
        <v>1</v>
      </c>
      <c r="S25" s="1" t="s">
        <v>11</v>
      </c>
      <c r="T25" s="1">
        <f ca="1">IF(DB_TBL_DATA_FIELDS[[#This Row],[RANGE_VALIDATION_FLAG]]="Text",LEN(DB_TBL_DATA_FIELDS[[#This Row],[FIELD_VALUE_RAW]]),IFERROR(VALUE(DB_TBL_DATA_FIELDS[[#This Row],[FIELD_VALUE_RAW]]),-1))</f>
        <v>0</v>
      </c>
      <c r="U25" s="1">
        <v>0</v>
      </c>
      <c r="V25" s="1">
        <v>32767</v>
      </c>
      <c r="W25" s="1" t="b">
        <f ca="1">IF(NOT(DB_TBL_DATA_FIELDS[[#This Row],[RANGE_VALIDATION_ON_FLAG]]),TRUE,
AND(DB_TBL_DATA_FIELDS[[#This Row],[RANGE_VALUE_LEN]]&gt;=DB_TBL_DATA_FIELDS[[#This Row],[RANGE_VALIDATION_MIN]],DB_TBL_DATA_FIELDS[[#This Row],[RANGE_VALUE_LEN]]&lt;=DB_TBL_DATA_FIELDS[[#This Row],[RANGE_VALIDATION_MAX]]))</f>
        <v>1</v>
      </c>
      <c r="X25" s="1">
        <v>1</v>
      </c>
      <c r="Y25" s="1" t="str">
        <f>IF(DB_TBL_DATA_FIELDS[[#This Row],[PCT_CALC_SHOW_STATUS_CODE]]=1,
DB_TBL_DATA_FIELDS[[#This Row],[FIELD_STATUS_CODE]],
IF(AND(DB_TBL_DATA_FIELDS[[#This Row],[PCT_CALC_SHOW_STATUS_CODE]]=2,DB_TBL_DATA_FIELDS[[#This Row],[FIELD_STATUS_CODE]]=0),
DB_TBL_DATA_FIELDS[[#This Row],[FIELD_STATUS_CODE]],
"")
)</f>
        <v/>
      </c>
      <c r="AA25" s="2">
        <v>6</v>
      </c>
      <c r="AB25" s="2" t="s">
        <v>2233</v>
      </c>
    </row>
    <row r="26" spans="1:29" x14ac:dyDescent="0.3">
      <c r="B26" s="128" t="s">
        <v>2227</v>
      </c>
      <c r="C26" s="1" t="str">
        <f>IF($H$9&lt;&gt;"I",IF(DB_TBL_DATA_FIELDS[[#This Row],[SHEET_REF_WISH]]&lt;&gt;"",DB_TBL_DATA_FIELDS[[#This Row],[SHEET_REF_WISH]],""),IF(DB_TBL_DATA_FIELDS[[#This Row],[SHEET_REF_IDEA]]&lt;&gt;"",DB_TBL_DATA_FIELDS[[#This Row],[SHEET_REF_IDEA]],""))</f>
        <v/>
      </c>
      <c r="D26" s="1" t="s">
        <v>2246</v>
      </c>
      <c r="E26" s="1" t="b">
        <v>1</v>
      </c>
      <c r="F26" s="11" t="b">
        <v>1</v>
      </c>
      <c r="G26" s="2" t="s">
        <v>2388</v>
      </c>
      <c r="H26" s="2" t="str">
        <f ca="1">IFERROR(TEXT(VLOOKUP(DB_TBL_DATA_FIELDS[[#This Row],[FIELD_ID]],INDIRECT(DB_TBL_DATA_FIELDS[[#This Row],[SHEET_REF_CALC]]&amp;"!A:B"),2,FALSE),"MM/DD/YYYY"),"")</f>
        <v/>
      </c>
      <c r="I26" s="14" t="str">
        <f ca="1">IF(AND(NOT(DB_TBL_DATA_FIELDS[[#This Row],[FIELD_EMPTY_FLAG]]),NOT(J25)),
(IFERROR(DATEDIF(FIRST_SAVINGS_DEPOSIT_DATE,FINAL_SAVINGS_DEPOSIT_DATE,"M"),0)+1)&gt;=CONFIG_IDEA_SAVINGS_MONTH_MIN,
"")</f>
        <v/>
      </c>
      <c r="J26" s="2" t="b">
        <f ca="1">(DB_TBL_DATA_FIELDS[[#This Row],[FIELD_VALUE_RAW]]="")</f>
        <v>1</v>
      </c>
      <c r="K26" s="2" t="s">
        <v>36</v>
      </c>
      <c r="L26" s="1" t="b">
        <f ca="1">AND(IF(DB_TBL_DATA_FIELDS[[#This Row],[FIELD_VALID_CUSTOM_LOGIC]]="",TRUE,DB_TBL_DATA_FIELDS[[#This Row],[FIELD_VALID_CUSTOM_LOGIC]]),DB_TBL_DATA_FIELDS[[#This Row],[RANGE_VALIDATION_PASSED_FLAG]])</f>
        <v>1</v>
      </c>
      <c r="M26"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26" s="1" t="str">
        <f>IF(DB_TBL_DATA_FIELDS[[#This Row],[SHEET_REF_CALC]]="","",IF(DB_TBL_DATA_FIELDS[[#This Row],[FIELD_EMPTY_FLAG]],IF(NOT(DB_TBL_DATA_FIELDS[[#This Row],[FIELD_REQ_FLAG]]),-1,1),IF(NOT(DB_TBL_DATA_FIELDS[[#This Row],[FIELD_VALID_FLAG]]),0,2)))</f>
        <v/>
      </c>
      <c r="O26" s="1" t="str">
        <f>IFERROR(VLOOKUP(DB_TBL_DATA_FIELDS[[#This Row],[FIELD_STATUS_CODE]],DB_TBL_CONFIG_FIELDSTATUSCODES[#All],3,FALSE),"")</f>
        <v/>
      </c>
      <c r="P26" s="1" t="str">
        <f>IFERROR(VLOOKUP(DB_TBL_DATA_FIELDS[[#This Row],[FIELD_STATUS_CODE]],DB_TBL_CONFIG_FIELDSTATUSCODES[#All],4,FALSE),"")</f>
        <v/>
      </c>
      <c r="Q26" s="1" t="b">
        <f>TRUE</f>
        <v>1</v>
      </c>
      <c r="R26" s="1" t="b">
        <f>TRUE</f>
        <v>1</v>
      </c>
      <c r="S26" s="1" t="s">
        <v>11</v>
      </c>
      <c r="T26" s="1">
        <f ca="1">IF(DB_TBL_DATA_FIELDS[[#This Row],[RANGE_VALIDATION_FLAG]]="Text",LEN(DB_TBL_DATA_FIELDS[[#This Row],[FIELD_VALUE_RAW]]),IFERROR(VALUE(DB_TBL_DATA_FIELDS[[#This Row],[FIELD_VALUE_RAW]]),-1))</f>
        <v>0</v>
      </c>
      <c r="U26" s="1">
        <v>0</v>
      </c>
      <c r="V26" s="1">
        <v>32767</v>
      </c>
      <c r="W26" s="1" t="b">
        <f ca="1">IF(NOT(DB_TBL_DATA_FIELDS[[#This Row],[RANGE_VALIDATION_ON_FLAG]]),TRUE,
AND(DB_TBL_DATA_FIELDS[[#This Row],[RANGE_VALUE_LEN]]&gt;=DB_TBL_DATA_FIELDS[[#This Row],[RANGE_VALIDATION_MIN]],DB_TBL_DATA_FIELDS[[#This Row],[RANGE_VALUE_LEN]]&lt;=DB_TBL_DATA_FIELDS[[#This Row],[RANGE_VALIDATION_MAX]]))</f>
        <v>1</v>
      </c>
      <c r="X26" s="1">
        <v>1</v>
      </c>
      <c r="Y26" s="1" t="str">
        <f>IF(DB_TBL_DATA_FIELDS[[#This Row],[PCT_CALC_SHOW_STATUS_CODE]]=1,
DB_TBL_DATA_FIELDS[[#This Row],[FIELD_STATUS_CODE]],
IF(AND(DB_TBL_DATA_FIELDS[[#This Row],[PCT_CALC_SHOW_STATUS_CODE]]=2,DB_TBL_DATA_FIELDS[[#This Row],[FIELD_STATUS_CODE]]=0),
DB_TBL_DATA_FIELDS[[#This Row],[FIELD_STATUS_CODE]],
"")
)</f>
        <v/>
      </c>
      <c r="Z26" s="36" t="str">
        <f>IF(DB_TBL_DATA_FIELDS[[#This Row],[FIELD_STATUS_CODE]]=0,IF(NOT(DB_TBL_DATA_FIELDS[[#This Row],[FIELD_VALID_CUSTOM_LOGIC]]),
"Must be at least "&amp;CONFIG_IDEA_SAVINGS_MONTH_MIN&amp;" months after first savings deposit date",""),"")</f>
        <v/>
      </c>
      <c r="AA26" s="2">
        <v>7</v>
      </c>
      <c r="AB26" s="2" t="s">
        <v>2233</v>
      </c>
    </row>
    <row r="27" spans="1:29" x14ac:dyDescent="0.3">
      <c r="B27" s="128" t="s">
        <v>2227</v>
      </c>
      <c r="C27" s="1" t="str">
        <f>IF($H$9&lt;&gt;"I",IF(DB_TBL_DATA_FIELDS[[#This Row],[SHEET_REF_WISH]]&lt;&gt;"",DB_TBL_DATA_FIELDS[[#This Row],[SHEET_REF_WISH]],""),IF(DB_TBL_DATA_FIELDS[[#This Row],[SHEET_REF_IDEA]]&lt;&gt;"",DB_TBL_DATA_FIELDS[[#This Row],[SHEET_REF_IDEA]],""))</f>
        <v/>
      </c>
      <c r="D27" s="1" t="s">
        <v>2249</v>
      </c>
      <c r="E27" s="1" t="b">
        <v>0</v>
      </c>
      <c r="F27" s="11" t="b">
        <v>1</v>
      </c>
      <c r="G27" s="2" t="s">
        <v>2390</v>
      </c>
      <c r="H27" s="2" t="str">
        <f ca="1">IFERROR(VLOOKUP(DB_TBL_DATA_FIELDS[[#This Row],[FIELD_ID]],INDIRECT(DB_TBL_DATA_FIELDS[[#This Row],[SHEET_REF_CALC]]&amp;"!A:B"),2,FALSE),"")</f>
        <v/>
      </c>
      <c r="I27" s="14" t="str">
        <f ca="1">I28</f>
        <v/>
      </c>
      <c r="J27" s="2" t="b">
        <f ca="1">(DB_TBL_DATA_FIELDS[[#This Row],[FIELD_VALUE_RAW]]="")</f>
        <v>1</v>
      </c>
      <c r="K27" s="2" t="s">
        <v>11</v>
      </c>
      <c r="L27" s="1" t="b">
        <f ca="1">AND(IF(DB_TBL_DATA_FIELDS[[#This Row],[FIELD_VALID_CUSTOM_LOGIC]]="",TRUE,DB_TBL_DATA_FIELDS[[#This Row],[FIELD_VALID_CUSTOM_LOGIC]]),DB_TBL_DATA_FIELDS[[#This Row],[RANGE_VALIDATION_PASSED_FLAG]])</f>
        <v>1</v>
      </c>
      <c r="M27"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27" s="1" t="str">
        <f>IF(DB_TBL_DATA_FIELDS[[#This Row],[SHEET_REF_CALC]]="","",IF(DB_TBL_DATA_FIELDS[[#This Row],[FIELD_EMPTY_FLAG]],IF(NOT(DB_TBL_DATA_FIELDS[[#This Row],[FIELD_REQ_FLAG]]),-1,1),IF(NOT(DB_TBL_DATA_FIELDS[[#This Row],[FIELD_VALID_FLAG]]),0,2)))</f>
        <v/>
      </c>
      <c r="O27" s="1" t="str">
        <f>IFERROR(VLOOKUP(DB_TBL_DATA_FIELDS[[#This Row],[FIELD_STATUS_CODE]],DB_TBL_CONFIG_FIELDSTATUSCODES[#All],3,FALSE),"")</f>
        <v/>
      </c>
      <c r="P27" s="1" t="str">
        <f>IFERROR(VLOOKUP(DB_TBL_DATA_FIELDS[[#This Row],[FIELD_STATUS_CODE]],DB_TBL_CONFIG_FIELDSTATUSCODES[#All],4,FALSE),"")</f>
        <v/>
      </c>
      <c r="Q27" s="1" t="b">
        <f>TRUE</f>
        <v>1</v>
      </c>
      <c r="R27" s="1" t="b">
        <f>TRUE</f>
        <v>1</v>
      </c>
      <c r="S27" s="1" t="s">
        <v>11</v>
      </c>
      <c r="T27" s="1">
        <f ca="1">IF(DB_TBL_DATA_FIELDS[[#This Row],[RANGE_VALIDATION_FLAG]]="Text",LEN(DB_TBL_DATA_FIELDS[[#This Row],[FIELD_VALUE_RAW]]),IFERROR(VALUE(DB_TBL_DATA_FIELDS[[#This Row],[FIELD_VALUE_RAW]]),-1))</f>
        <v>0</v>
      </c>
      <c r="U27" s="1">
        <v>0</v>
      </c>
      <c r="V27" s="1">
        <v>32767</v>
      </c>
      <c r="W27" s="1" t="b">
        <f ca="1">IF(NOT(DB_TBL_DATA_FIELDS[[#This Row],[RANGE_VALIDATION_ON_FLAG]]),TRUE,
AND(DB_TBL_DATA_FIELDS[[#This Row],[RANGE_VALUE_LEN]]&gt;=DB_TBL_DATA_FIELDS[[#This Row],[RANGE_VALIDATION_MIN]],DB_TBL_DATA_FIELDS[[#This Row],[RANGE_VALUE_LEN]]&lt;=DB_TBL_DATA_FIELDS[[#This Row],[RANGE_VALIDATION_MAX]]))</f>
        <v>1</v>
      </c>
      <c r="X27" s="1">
        <v>1</v>
      </c>
      <c r="Y27" s="1" t="str">
        <f>IF(DB_TBL_DATA_FIELDS[[#This Row],[PCT_CALC_SHOW_STATUS_CODE]]=1,
DB_TBL_DATA_FIELDS[[#This Row],[FIELD_STATUS_CODE]],
IF(AND(DB_TBL_DATA_FIELDS[[#This Row],[PCT_CALC_SHOW_STATUS_CODE]]=2,DB_TBL_DATA_FIELDS[[#This Row],[FIELD_STATUS_CODE]]=0),
DB_TBL_DATA_FIELDS[[#This Row],[FIELD_STATUS_CODE]],
"")
)</f>
        <v/>
      </c>
      <c r="AA27" s="2">
        <v>8</v>
      </c>
      <c r="AB27" s="2" t="s">
        <v>2233</v>
      </c>
    </row>
    <row r="28" spans="1:29" ht="13.5" thickBot="1" x14ac:dyDescent="0.35">
      <c r="A28" s="30"/>
      <c r="B28" s="132" t="s">
        <v>2227</v>
      </c>
      <c r="C28" s="30" t="str">
        <f>IF($H$9&lt;&gt;"I",IF(DB_TBL_DATA_FIELDS[[#This Row],[SHEET_REF_WISH]]&lt;&gt;"",DB_TBL_DATA_FIELDS[[#This Row],[SHEET_REF_WISH]],""),IF(DB_TBL_DATA_FIELDS[[#This Row],[SHEET_REF_IDEA]]&lt;&gt;"",DB_TBL_DATA_FIELDS[[#This Row],[SHEET_REF_IDEA]],""))</f>
        <v/>
      </c>
      <c r="D28" s="30" t="s">
        <v>2248</v>
      </c>
      <c r="E28" s="30" t="b">
        <v>1</v>
      </c>
      <c r="F28" s="32" t="b">
        <v>1</v>
      </c>
      <c r="G28" s="33" t="s">
        <v>2389</v>
      </c>
      <c r="H28" s="34" t="str">
        <f ca="1">IF(H27="","",IFERROR(VLOOKUP(H27,'$DB.LOOKUP'!T:U,2,FALSE),"{INVALID}"))</f>
        <v/>
      </c>
      <c r="I28" s="34" t="str">
        <f ca="1">IF(DB_TBL_DATA_FIELDS[[#This Row],[FIELD_EMPTY_FLAG]],"",OR(DB_TBL_DATA_FIELDS[[#This Row],[FIELD_VALUE_RAW]]="",DB_TBL_DATA_FIELDS[[#This Row],[FIELD_VALUE_RAW]]&lt;&gt;"{INVALID}"))</f>
        <v/>
      </c>
      <c r="J28" s="33" t="b">
        <f ca="1">(DB_TBL_DATA_FIELDS[[#This Row],[FIELD_VALUE_RAW]]="")</f>
        <v>1</v>
      </c>
      <c r="K28" s="33" t="s">
        <v>11</v>
      </c>
      <c r="L28" s="30" t="b">
        <f ca="1">AND(IF(DB_TBL_DATA_FIELDS[[#This Row],[FIELD_VALID_CUSTOM_LOGIC]]="",TRUE,DB_TBL_DATA_FIELDS[[#This Row],[FIELD_VALID_CUSTOM_LOGIC]]),DB_TBL_DATA_FIELDS[[#This Row],[RANGE_VALIDATION_PASSED_FLAG]])</f>
        <v>1</v>
      </c>
      <c r="M28" s="3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28" s="30" t="str">
        <f>IF(DB_TBL_DATA_FIELDS[[#This Row],[SHEET_REF_CALC]]="","",IF(DB_TBL_DATA_FIELDS[[#This Row],[FIELD_EMPTY_FLAG]],IF(NOT(DB_TBL_DATA_FIELDS[[#This Row],[FIELD_REQ_FLAG]]),-1,1),IF(NOT(DB_TBL_DATA_FIELDS[[#This Row],[FIELD_VALID_FLAG]]),0,2)))</f>
        <v/>
      </c>
      <c r="O28" s="30" t="str">
        <f>IFERROR(VLOOKUP(DB_TBL_DATA_FIELDS[[#This Row],[FIELD_STATUS_CODE]],DB_TBL_CONFIG_FIELDSTATUSCODES[#All],3,FALSE),"")</f>
        <v/>
      </c>
      <c r="P28" s="30" t="str">
        <f>IFERROR(VLOOKUP(DB_TBL_DATA_FIELDS[[#This Row],[FIELD_STATUS_CODE]],DB_TBL_CONFIG_FIELDSTATUSCODES[#All],4,FALSE),"")</f>
        <v/>
      </c>
      <c r="Q28" s="30" t="b">
        <f>TRUE</f>
        <v>1</v>
      </c>
      <c r="R28" s="30" t="b">
        <f>TRUE</f>
        <v>1</v>
      </c>
      <c r="S28" s="30" t="s">
        <v>11</v>
      </c>
      <c r="T28" s="30">
        <f ca="1">IF(DB_TBL_DATA_FIELDS[[#This Row],[RANGE_VALIDATION_FLAG]]="Text",LEN(DB_TBL_DATA_FIELDS[[#This Row],[FIELD_VALUE_RAW]]),IFERROR(VALUE(DB_TBL_DATA_FIELDS[[#This Row],[FIELD_VALUE_RAW]]),-1))</f>
        <v>0</v>
      </c>
      <c r="U28" s="30">
        <v>0</v>
      </c>
      <c r="V28" s="30">
        <v>32767</v>
      </c>
      <c r="W28" s="30" t="b">
        <f ca="1">IF(NOT(DB_TBL_DATA_FIELDS[[#This Row],[RANGE_VALIDATION_ON_FLAG]]),TRUE,
AND(DB_TBL_DATA_FIELDS[[#This Row],[RANGE_VALUE_LEN]]&gt;=DB_TBL_DATA_FIELDS[[#This Row],[RANGE_VALIDATION_MIN]],DB_TBL_DATA_FIELDS[[#This Row],[RANGE_VALUE_LEN]]&lt;=DB_TBL_DATA_FIELDS[[#This Row],[RANGE_VALIDATION_MAX]]))</f>
        <v>1</v>
      </c>
      <c r="X28" s="30">
        <v>1</v>
      </c>
      <c r="Y28" s="30" t="str">
        <f>IF(DB_TBL_DATA_FIELDS[[#This Row],[PCT_CALC_SHOW_STATUS_CODE]]=1,
DB_TBL_DATA_FIELDS[[#This Row],[FIELD_STATUS_CODE]],
IF(AND(DB_TBL_DATA_FIELDS[[#This Row],[PCT_CALC_SHOW_STATUS_CODE]]=2,DB_TBL_DATA_FIELDS[[#This Row],[FIELD_STATUS_CODE]]=0),
DB_TBL_DATA_FIELDS[[#This Row],[FIELD_STATUS_CODE]],
"")
)</f>
        <v/>
      </c>
      <c r="Z28" s="30"/>
      <c r="AA28" s="33">
        <v>8</v>
      </c>
      <c r="AB28" s="33" t="s">
        <v>2233</v>
      </c>
      <c r="AC28" s="30" t="s">
        <v>2250</v>
      </c>
    </row>
    <row r="29" spans="1:29" x14ac:dyDescent="0.3">
      <c r="A29" s="1" t="s">
        <v>2226</v>
      </c>
      <c r="B29" s="171"/>
      <c r="C29" s="1" t="str">
        <f>IF($H$9&lt;&gt;"I",IF(DB_TBL_DATA_FIELDS[[#This Row],[SHEET_REF_WISH]]&lt;&gt;"",DB_TBL_DATA_FIELDS[[#This Row],[SHEET_REF_WISH]],""),IF(DB_TBL_DATA_FIELDS[[#This Row],[SHEET_REF_IDEA]]&lt;&gt;"",DB_TBL_DATA_FIELDS[[#This Row],[SHEET_REF_IDEA]],""))</f>
        <v>WISH</v>
      </c>
      <c r="D29" s="1" t="s">
        <v>2467</v>
      </c>
      <c r="E29" s="1" t="b">
        <v>0</v>
      </c>
      <c r="F29" s="11" t="b">
        <v>0</v>
      </c>
      <c r="G29" s="2" t="s">
        <v>2490</v>
      </c>
      <c r="H29" s="2" t="str">
        <f ca="1">IFERROR(VLOOKUP(DB_TBL_DATA_FIELDS[[#This Row],[FIELD_ID]],INDIRECT(DB_TBL_DATA_FIELDS[[#This Row],[SHEET_REF_CALC]]&amp;"!A:B"),2,FALSE),"")</f>
        <v/>
      </c>
      <c r="J29" s="2" t="b">
        <f ca="1">(DB_TBL_DATA_FIELDS[[#This Row],[FIELD_VALUE_RAW]]="")</f>
        <v>1</v>
      </c>
      <c r="K29" s="2" t="s">
        <v>11</v>
      </c>
      <c r="L29" s="1" t="b">
        <f ca="1">AND(IF(DB_TBL_DATA_FIELDS[[#This Row],[FIELD_VALID_CUSTOM_LOGIC]]="",TRUE,DB_TBL_DATA_FIELDS[[#This Row],[FIELD_VALID_CUSTOM_LOGIC]]),DB_TBL_DATA_FIELDS[[#This Row],[RANGE_VALIDATION_PASSED_FLAG]])</f>
        <v>1</v>
      </c>
      <c r="M29"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29" s="1">
        <f ca="1">IF(DB_TBL_DATA_FIELDS[[#This Row],[SHEET_REF_CALC]]="","",IF(DB_TBL_DATA_FIELDS[[#This Row],[FIELD_EMPTY_FLAG]],IF(NOT(DB_TBL_DATA_FIELDS[[#This Row],[FIELD_REQ_FLAG]]),-1,1),IF(NOT(DB_TBL_DATA_FIELDS[[#This Row],[FIELD_VALID_FLAG]]),0,2)))</f>
        <v>-1</v>
      </c>
      <c r="O29" s="1" t="str">
        <f ca="1">IFERROR(VLOOKUP(DB_TBL_DATA_FIELDS[[#This Row],[FIELD_STATUS_CODE]],DB_TBL_CONFIG_FIELDSTATUSCODES[#All],3,FALSE),"")</f>
        <v>Optional</v>
      </c>
      <c r="P29" s="1" t="str">
        <f ca="1">IFERROR(VLOOKUP(DB_TBL_DATA_FIELDS[[#This Row],[FIELD_STATUS_CODE]],DB_TBL_CONFIG_FIELDSTATUSCODES[#All],4,FALSE),"")</f>
        <v xml:space="preserve"> </v>
      </c>
      <c r="Q29" s="1" t="b">
        <f>TRUE</f>
        <v>1</v>
      </c>
      <c r="R29" s="1" t="b">
        <f>TRUE</f>
        <v>1</v>
      </c>
      <c r="S29" s="1" t="s">
        <v>11</v>
      </c>
      <c r="T29" s="1">
        <f ca="1">IF(DB_TBL_DATA_FIELDS[[#This Row],[RANGE_VALIDATION_FLAG]]="Text",LEN(DB_TBL_DATA_FIELDS[[#This Row],[FIELD_VALUE_RAW]]),IFERROR(VALUE(DB_TBL_DATA_FIELDS[[#This Row],[FIELD_VALUE_RAW]]),-1))</f>
        <v>0</v>
      </c>
      <c r="U29" s="1">
        <v>0</v>
      </c>
      <c r="V29" s="1">
        <v>100</v>
      </c>
      <c r="W29" s="1" t="b">
        <f ca="1">IF(NOT(DB_TBL_DATA_FIELDS[[#This Row],[RANGE_VALIDATION_ON_FLAG]]),TRUE,
AND(DB_TBL_DATA_FIELDS[[#This Row],[RANGE_VALUE_LEN]]&gt;=DB_TBL_DATA_FIELDS[[#This Row],[RANGE_VALIDATION_MIN]],DB_TBL_DATA_FIELDS[[#This Row],[RANGE_VALUE_LEN]]&lt;=DB_TBL_DATA_FIELDS[[#This Row],[RANGE_VALIDATION_MAX]]))</f>
        <v>1</v>
      </c>
      <c r="X29" s="1">
        <v>0</v>
      </c>
      <c r="Y29" s="1" t="str">
        <f ca="1">IF(DB_TBL_DATA_FIELDS[[#This Row],[PCT_CALC_SHOW_STATUS_CODE]]=1,
DB_TBL_DATA_FIELDS[[#This Row],[FIELD_STATUS_CODE]],
IF(AND(DB_TBL_DATA_FIELDS[[#This Row],[PCT_CALC_SHOW_STATUS_CODE]]=2,DB_TBL_DATA_FIELDS[[#This Row],[FIELD_STATUS_CODE]]=0),
DB_TBL_DATA_FIELDS[[#This Row],[FIELD_STATUS_CODE]],
"")
)</f>
        <v/>
      </c>
      <c r="AB29" s="2" t="s">
        <v>2491</v>
      </c>
      <c r="AC29" s="1" t="s">
        <v>2492</v>
      </c>
    </row>
    <row r="30" spans="1:29" x14ac:dyDescent="0.3">
      <c r="A30" s="1" t="s">
        <v>2226</v>
      </c>
      <c r="B30" s="171"/>
      <c r="C30" s="1" t="str">
        <f>IF($H$9&lt;&gt;"I",IF(DB_TBL_DATA_FIELDS[[#This Row],[SHEET_REF_WISH]]&lt;&gt;"",DB_TBL_DATA_FIELDS[[#This Row],[SHEET_REF_WISH]],""),IF(DB_TBL_DATA_FIELDS[[#This Row],[SHEET_REF_IDEA]]&lt;&gt;"",DB_TBL_DATA_FIELDS[[#This Row],[SHEET_REF_IDEA]],""))</f>
        <v>WISH</v>
      </c>
      <c r="D30" s="1" t="s">
        <v>2493</v>
      </c>
      <c r="E30" s="1" t="b">
        <v>1</v>
      </c>
      <c r="F30" s="11" t="b">
        <v>0</v>
      </c>
      <c r="G30" s="2" t="s">
        <v>2494</v>
      </c>
      <c r="H30" s="14" t="str">
        <f ca="1">IF(J29,"",VLOOKUP(DATA_HOMEBUYER_1_ETHNICITY,'$DB.LOOKUP'!$Z$3:$AA$5,2,FALSE))</f>
        <v/>
      </c>
      <c r="J30" s="2" t="b">
        <f ca="1">(DB_TBL_DATA_FIELDS[[#This Row],[FIELD_VALUE_RAW]]="")</f>
        <v>1</v>
      </c>
      <c r="K30" s="2" t="s">
        <v>11</v>
      </c>
      <c r="L30" s="1" t="b">
        <f ca="1">AND(IF(DB_TBL_DATA_FIELDS[[#This Row],[FIELD_VALID_CUSTOM_LOGIC]]="",TRUE,DB_TBL_DATA_FIELDS[[#This Row],[FIELD_VALID_CUSTOM_LOGIC]]),DB_TBL_DATA_FIELDS[[#This Row],[RANGE_VALIDATION_PASSED_FLAG]])</f>
        <v>1</v>
      </c>
      <c r="M30"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30" s="1">
        <f ca="1">IF(DB_TBL_DATA_FIELDS[[#This Row],[SHEET_REF_CALC]]="","",IF(DB_TBL_DATA_FIELDS[[#This Row],[FIELD_EMPTY_FLAG]],IF(NOT(DB_TBL_DATA_FIELDS[[#This Row],[FIELD_REQ_FLAG]]),-1,1),IF(NOT(DB_TBL_DATA_FIELDS[[#This Row],[FIELD_VALID_FLAG]]),0,2)))</f>
        <v>-1</v>
      </c>
      <c r="O30" s="1" t="str">
        <f ca="1">IFERROR(VLOOKUP(DB_TBL_DATA_FIELDS[[#This Row],[FIELD_STATUS_CODE]],DB_TBL_CONFIG_FIELDSTATUSCODES[#All],3,FALSE),"")</f>
        <v>Optional</v>
      </c>
      <c r="P30" s="1" t="str">
        <f ca="1">IFERROR(VLOOKUP(DB_TBL_DATA_FIELDS[[#This Row],[FIELD_STATUS_CODE]],DB_TBL_CONFIG_FIELDSTATUSCODES[#All],4,FALSE),"")</f>
        <v xml:space="preserve"> </v>
      </c>
      <c r="Q30" s="1" t="b">
        <f>TRUE</f>
        <v>1</v>
      </c>
      <c r="R30" s="1" t="b">
        <f>TRUE</f>
        <v>1</v>
      </c>
      <c r="S30" s="1" t="s">
        <v>11</v>
      </c>
      <c r="T30" s="1">
        <f ca="1">IF(DB_TBL_DATA_FIELDS[[#This Row],[RANGE_VALIDATION_FLAG]]="Text",LEN(DB_TBL_DATA_FIELDS[[#This Row],[FIELD_VALUE_RAW]]),IFERROR(VALUE(DB_TBL_DATA_FIELDS[[#This Row],[FIELD_VALUE_RAW]]),-1))</f>
        <v>0</v>
      </c>
      <c r="U30" s="1">
        <v>0</v>
      </c>
      <c r="V30" s="1">
        <v>100</v>
      </c>
      <c r="W30" s="1" t="b">
        <f ca="1">IF(NOT(DB_TBL_DATA_FIELDS[[#This Row],[RANGE_VALIDATION_ON_FLAG]]),TRUE,
AND(DB_TBL_DATA_FIELDS[[#This Row],[RANGE_VALUE_LEN]]&gt;=DB_TBL_DATA_FIELDS[[#This Row],[RANGE_VALIDATION_MIN]],DB_TBL_DATA_FIELDS[[#This Row],[RANGE_VALUE_LEN]]&lt;=DB_TBL_DATA_FIELDS[[#This Row],[RANGE_VALIDATION_MAX]]))</f>
        <v>1</v>
      </c>
      <c r="X30" s="1">
        <v>0</v>
      </c>
      <c r="Y30" s="1" t="str">
        <f ca="1">IF(DB_TBL_DATA_FIELDS[[#This Row],[PCT_CALC_SHOW_STATUS_CODE]]=1,
DB_TBL_DATA_FIELDS[[#This Row],[FIELD_STATUS_CODE]],
IF(AND(DB_TBL_DATA_FIELDS[[#This Row],[PCT_CALC_SHOW_STATUS_CODE]]=2,DB_TBL_DATA_FIELDS[[#This Row],[FIELD_STATUS_CODE]]=0),
DB_TBL_DATA_FIELDS[[#This Row],[FIELD_STATUS_CODE]],
"")
)</f>
        <v/>
      </c>
      <c r="AB30" s="2" t="s">
        <v>2491</v>
      </c>
      <c r="AC30" s="1" t="s">
        <v>2492</v>
      </c>
    </row>
    <row r="31" spans="1:29" x14ac:dyDescent="0.3">
      <c r="A31" s="1" t="s">
        <v>2226</v>
      </c>
      <c r="B31" s="171"/>
      <c r="C31" s="1" t="str">
        <f>IF($H$9&lt;&gt;"I",IF(DB_TBL_DATA_FIELDS[[#This Row],[SHEET_REF_WISH]]&lt;&gt;"",DB_TBL_DATA_FIELDS[[#This Row],[SHEET_REF_WISH]],""),IF(DB_TBL_DATA_FIELDS[[#This Row],[SHEET_REF_IDEA]]&lt;&gt;"",DB_TBL_DATA_FIELDS[[#This Row],[SHEET_REF_IDEA]],""))</f>
        <v>WISH</v>
      </c>
      <c r="D31" s="1" t="s">
        <v>2468</v>
      </c>
      <c r="E31" s="1" t="b">
        <v>0</v>
      </c>
      <c r="F31" s="11" t="b">
        <v>0</v>
      </c>
      <c r="G31" s="2" t="s">
        <v>2496</v>
      </c>
      <c r="H31" s="2" t="str">
        <f ca="1">IFERROR(VLOOKUP(DB_TBL_DATA_FIELDS[[#This Row],[FIELD_ID]],INDIRECT(DB_TBL_DATA_FIELDS[[#This Row],[SHEET_REF_CALC]]&amp;"!A:B"),2,FALSE),"")</f>
        <v/>
      </c>
      <c r="J31" s="2" t="b">
        <f ca="1">(DB_TBL_DATA_FIELDS[[#This Row],[FIELD_VALUE_RAW]]="")</f>
        <v>1</v>
      </c>
      <c r="K31" s="2" t="s">
        <v>144</v>
      </c>
      <c r="L31" s="1" t="b">
        <f>AND(IF(DB_TBL_DATA_FIELDS[[#This Row],[FIELD_VALID_CUSTOM_LOGIC]]="",TRUE,DB_TBL_DATA_FIELDS[[#This Row],[FIELD_VALID_CUSTOM_LOGIC]]),DB_TBL_DATA_FIELDS[[#This Row],[RANGE_VALIDATION_PASSED_FLAG]])</f>
        <v>1</v>
      </c>
      <c r="M31"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31" s="1">
        <f ca="1">IF(DB_TBL_DATA_FIELDS[[#This Row],[SHEET_REF_CALC]]="","",IF(DB_TBL_DATA_FIELDS[[#This Row],[FIELD_EMPTY_FLAG]],IF(NOT(DB_TBL_DATA_FIELDS[[#This Row],[FIELD_REQ_FLAG]]),-1,1),IF(NOT(DB_TBL_DATA_FIELDS[[#This Row],[FIELD_VALID_FLAG]]),0,2)))</f>
        <v>-1</v>
      </c>
      <c r="O31" s="1" t="str">
        <f ca="1">IFERROR(VLOOKUP(DB_TBL_DATA_FIELDS[[#This Row],[FIELD_STATUS_CODE]],DB_TBL_CONFIG_FIELDSTATUSCODES[#All],3,FALSE),"")</f>
        <v>Optional</v>
      </c>
      <c r="P31" s="1" t="str">
        <f ca="1">IFERROR(VLOOKUP(DB_TBL_DATA_FIELDS[[#This Row],[FIELD_STATUS_CODE]],DB_TBL_CONFIG_FIELDSTATUSCODES[#All],4,FALSE),"")</f>
        <v xml:space="preserve"> </v>
      </c>
      <c r="Q31" s="1" t="b">
        <f>TRUE</f>
        <v>1</v>
      </c>
      <c r="R31" s="1" t="b">
        <v>0</v>
      </c>
      <c r="T31" s="1">
        <f ca="1">IF(DB_TBL_DATA_FIELDS[[#This Row],[RANGE_VALIDATION_FLAG]]="Text",LEN(DB_TBL_DATA_FIELDS[[#This Row],[FIELD_VALUE_RAW]]),IFERROR(VALUE(DB_TBL_DATA_FIELDS[[#This Row],[FIELD_VALUE_RAW]]),-1))</f>
        <v>-1</v>
      </c>
      <c r="U31" s="1">
        <v>0</v>
      </c>
      <c r="V31" s="1">
        <v>1</v>
      </c>
      <c r="W31" s="1" t="b">
        <f>IF(NOT(DB_TBL_DATA_FIELDS[[#This Row],[RANGE_VALIDATION_ON_FLAG]]),TRUE,
AND(DB_TBL_DATA_FIELDS[[#This Row],[RANGE_VALUE_LEN]]&gt;=DB_TBL_DATA_FIELDS[[#This Row],[RANGE_VALIDATION_MIN]],DB_TBL_DATA_FIELDS[[#This Row],[RANGE_VALUE_LEN]]&lt;=DB_TBL_DATA_FIELDS[[#This Row],[RANGE_VALIDATION_MAX]]))</f>
        <v>1</v>
      </c>
      <c r="X31" s="1">
        <v>0</v>
      </c>
      <c r="Y31" s="1" t="str">
        <f ca="1">IF(DB_TBL_DATA_FIELDS[[#This Row],[PCT_CALC_SHOW_STATUS_CODE]]=1,
DB_TBL_DATA_FIELDS[[#This Row],[FIELD_STATUS_CODE]],
IF(AND(DB_TBL_DATA_FIELDS[[#This Row],[PCT_CALC_SHOW_STATUS_CODE]]=2,DB_TBL_DATA_FIELDS[[#This Row],[FIELD_STATUS_CODE]]=0),
DB_TBL_DATA_FIELDS[[#This Row],[FIELD_STATUS_CODE]],
"")
)</f>
        <v/>
      </c>
      <c r="AB31" s="2" t="s">
        <v>2491</v>
      </c>
      <c r="AC31" s="1" t="s">
        <v>2492</v>
      </c>
    </row>
    <row r="32" spans="1:29" x14ac:dyDescent="0.3">
      <c r="A32" s="1" t="s">
        <v>2226</v>
      </c>
      <c r="B32" s="171"/>
      <c r="C32" s="1" t="str">
        <f>IF($H$9&lt;&gt;"I",IF(DB_TBL_DATA_FIELDS[[#This Row],[SHEET_REF_WISH]]&lt;&gt;"",DB_TBL_DATA_FIELDS[[#This Row],[SHEET_REF_WISH]],""),IF(DB_TBL_DATA_FIELDS[[#This Row],[SHEET_REF_IDEA]]&lt;&gt;"",DB_TBL_DATA_FIELDS[[#This Row],[SHEET_REF_IDEA]],""))</f>
        <v>WISH</v>
      </c>
      <c r="D32" s="1" t="s">
        <v>2469</v>
      </c>
      <c r="E32" s="1" t="b">
        <v>0</v>
      </c>
      <c r="F32" s="11" t="b">
        <v>0</v>
      </c>
      <c r="G32" s="2" t="s">
        <v>2497</v>
      </c>
      <c r="H32" s="2" t="str">
        <f ca="1">IFERROR(VLOOKUP(DB_TBL_DATA_FIELDS[[#This Row],[FIELD_ID]],INDIRECT(DB_TBL_DATA_FIELDS[[#This Row],[SHEET_REF_CALC]]&amp;"!A:B"),2,FALSE),"")</f>
        <v/>
      </c>
      <c r="J32" s="2" t="b">
        <f ca="1">(DB_TBL_DATA_FIELDS[[#This Row],[FIELD_VALUE_RAW]]="")</f>
        <v>1</v>
      </c>
      <c r="K32" s="2" t="s">
        <v>144</v>
      </c>
      <c r="L32" s="1" t="b">
        <f>AND(IF(DB_TBL_DATA_FIELDS[[#This Row],[FIELD_VALID_CUSTOM_LOGIC]]="",TRUE,DB_TBL_DATA_FIELDS[[#This Row],[FIELD_VALID_CUSTOM_LOGIC]]),DB_TBL_DATA_FIELDS[[#This Row],[RANGE_VALIDATION_PASSED_FLAG]])</f>
        <v>1</v>
      </c>
      <c r="M32"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32" s="1">
        <f ca="1">IF(DB_TBL_DATA_FIELDS[[#This Row],[SHEET_REF_CALC]]="","",IF(DB_TBL_DATA_FIELDS[[#This Row],[FIELD_EMPTY_FLAG]],IF(NOT(DB_TBL_DATA_FIELDS[[#This Row],[FIELD_REQ_FLAG]]),-1,1),IF(NOT(DB_TBL_DATA_FIELDS[[#This Row],[FIELD_VALID_FLAG]]),0,2)))</f>
        <v>-1</v>
      </c>
      <c r="O32" s="1" t="str">
        <f ca="1">IFERROR(VLOOKUP(DB_TBL_DATA_FIELDS[[#This Row],[FIELD_STATUS_CODE]],DB_TBL_CONFIG_FIELDSTATUSCODES[#All],3,FALSE),"")</f>
        <v>Optional</v>
      </c>
      <c r="P32" s="1" t="str">
        <f ca="1">IFERROR(VLOOKUP(DB_TBL_DATA_FIELDS[[#This Row],[FIELD_STATUS_CODE]],DB_TBL_CONFIG_FIELDSTATUSCODES[#All],4,FALSE),"")</f>
        <v xml:space="preserve"> </v>
      </c>
      <c r="Q32" s="1" t="b">
        <f>TRUE</f>
        <v>1</v>
      </c>
      <c r="R32" s="1" t="b">
        <v>0</v>
      </c>
      <c r="T32" s="1">
        <f ca="1">IF(DB_TBL_DATA_FIELDS[[#This Row],[RANGE_VALIDATION_FLAG]]="Text",LEN(DB_TBL_DATA_FIELDS[[#This Row],[FIELD_VALUE_RAW]]),IFERROR(VALUE(DB_TBL_DATA_FIELDS[[#This Row],[FIELD_VALUE_RAW]]),-1))</f>
        <v>-1</v>
      </c>
      <c r="U32" s="1">
        <v>0</v>
      </c>
      <c r="V32" s="1">
        <v>1</v>
      </c>
      <c r="W32" s="1" t="b">
        <f>IF(NOT(DB_TBL_DATA_FIELDS[[#This Row],[RANGE_VALIDATION_ON_FLAG]]),TRUE,
AND(DB_TBL_DATA_FIELDS[[#This Row],[RANGE_VALUE_LEN]]&gt;=DB_TBL_DATA_FIELDS[[#This Row],[RANGE_VALIDATION_MIN]],DB_TBL_DATA_FIELDS[[#This Row],[RANGE_VALUE_LEN]]&lt;=DB_TBL_DATA_FIELDS[[#This Row],[RANGE_VALIDATION_MAX]]))</f>
        <v>1</v>
      </c>
      <c r="X32" s="1">
        <v>0</v>
      </c>
      <c r="Y32" s="1" t="str">
        <f ca="1">IF(DB_TBL_DATA_FIELDS[[#This Row],[PCT_CALC_SHOW_STATUS_CODE]]=1,
DB_TBL_DATA_FIELDS[[#This Row],[FIELD_STATUS_CODE]],
IF(AND(DB_TBL_DATA_FIELDS[[#This Row],[PCT_CALC_SHOW_STATUS_CODE]]=2,DB_TBL_DATA_FIELDS[[#This Row],[FIELD_STATUS_CODE]]=0),
DB_TBL_DATA_FIELDS[[#This Row],[FIELD_STATUS_CODE]],
"")
)</f>
        <v/>
      </c>
      <c r="AB32" s="2" t="s">
        <v>2491</v>
      </c>
      <c r="AC32" s="1" t="s">
        <v>2492</v>
      </c>
    </row>
    <row r="33" spans="1:29" x14ac:dyDescent="0.3">
      <c r="A33" s="1" t="s">
        <v>2226</v>
      </c>
      <c r="B33" s="171"/>
      <c r="C33" s="1" t="str">
        <f>IF($H$9&lt;&gt;"I",IF(DB_TBL_DATA_FIELDS[[#This Row],[SHEET_REF_WISH]]&lt;&gt;"",DB_TBL_DATA_FIELDS[[#This Row],[SHEET_REF_WISH]],""),IF(DB_TBL_DATA_FIELDS[[#This Row],[SHEET_REF_IDEA]]&lt;&gt;"",DB_TBL_DATA_FIELDS[[#This Row],[SHEET_REF_IDEA]],""))</f>
        <v>WISH</v>
      </c>
      <c r="D33" s="1" t="s">
        <v>2470</v>
      </c>
      <c r="E33" s="1" t="b">
        <v>0</v>
      </c>
      <c r="F33" s="11" t="b">
        <v>0</v>
      </c>
      <c r="G33" s="2" t="s">
        <v>2498</v>
      </c>
      <c r="H33" s="2" t="str">
        <f ca="1">IFERROR(VLOOKUP(DB_TBL_DATA_FIELDS[[#This Row],[FIELD_ID]],INDIRECT(DB_TBL_DATA_FIELDS[[#This Row],[SHEET_REF_CALC]]&amp;"!A:B"),2,FALSE),"")</f>
        <v/>
      </c>
      <c r="J33" s="2" t="b">
        <f ca="1">(DB_TBL_DATA_FIELDS[[#This Row],[FIELD_VALUE_RAW]]="")</f>
        <v>1</v>
      </c>
      <c r="K33" s="2" t="s">
        <v>144</v>
      </c>
      <c r="L33" s="1" t="b">
        <f>AND(IF(DB_TBL_DATA_FIELDS[[#This Row],[FIELD_VALID_CUSTOM_LOGIC]]="",TRUE,DB_TBL_DATA_FIELDS[[#This Row],[FIELD_VALID_CUSTOM_LOGIC]]),DB_TBL_DATA_FIELDS[[#This Row],[RANGE_VALIDATION_PASSED_FLAG]])</f>
        <v>1</v>
      </c>
      <c r="M33"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33" s="1">
        <f ca="1">IF(DB_TBL_DATA_FIELDS[[#This Row],[SHEET_REF_CALC]]="","",IF(DB_TBL_DATA_FIELDS[[#This Row],[FIELD_EMPTY_FLAG]],IF(NOT(DB_TBL_DATA_FIELDS[[#This Row],[FIELD_REQ_FLAG]]),-1,1),IF(NOT(DB_TBL_DATA_FIELDS[[#This Row],[FIELD_VALID_FLAG]]),0,2)))</f>
        <v>-1</v>
      </c>
      <c r="O33" s="1" t="str">
        <f ca="1">IFERROR(VLOOKUP(DB_TBL_DATA_FIELDS[[#This Row],[FIELD_STATUS_CODE]],DB_TBL_CONFIG_FIELDSTATUSCODES[#All],3,FALSE),"")</f>
        <v>Optional</v>
      </c>
      <c r="P33" s="1" t="str">
        <f ca="1">IFERROR(VLOOKUP(DB_TBL_DATA_FIELDS[[#This Row],[FIELD_STATUS_CODE]],DB_TBL_CONFIG_FIELDSTATUSCODES[#All],4,FALSE),"")</f>
        <v xml:space="preserve"> </v>
      </c>
      <c r="Q33" s="1" t="b">
        <f>TRUE</f>
        <v>1</v>
      </c>
      <c r="R33" s="1" t="b">
        <v>0</v>
      </c>
      <c r="T33" s="1">
        <f ca="1">IF(DB_TBL_DATA_FIELDS[[#This Row],[RANGE_VALIDATION_FLAG]]="Text",LEN(DB_TBL_DATA_FIELDS[[#This Row],[FIELD_VALUE_RAW]]),IFERROR(VALUE(DB_TBL_DATA_FIELDS[[#This Row],[FIELD_VALUE_RAW]]),-1))</f>
        <v>-1</v>
      </c>
      <c r="U33" s="1">
        <v>0</v>
      </c>
      <c r="V33" s="1">
        <v>1</v>
      </c>
      <c r="W33" s="1" t="b">
        <f>IF(NOT(DB_TBL_DATA_FIELDS[[#This Row],[RANGE_VALIDATION_ON_FLAG]]),TRUE,
AND(DB_TBL_DATA_FIELDS[[#This Row],[RANGE_VALUE_LEN]]&gt;=DB_TBL_DATA_FIELDS[[#This Row],[RANGE_VALIDATION_MIN]],DB_TBL_DATA_FIELDS[[#This Row],[RANGE_VALUE_LEN]]&lt;=DB_TBL_DATA_FIELDS[[#This Row],[RANGE_VALIDATION_MAX]]))</f>
        <v>1</v>
      </c>
      <c r="X33" s="1">
        <v>0</v>
      </c>
      <c r="Y33" s="1" t="str">
        <f ca="1">IF(DB_TBL_DATA_FIELDS[[#This Row],[PCT_CALC_SHOW_STATUS_CODE]]=1,
DB_TBL_DATA_FIELDS[[#This Row],[FIELD_STATUS_CODE]],
IF(AND(DB_TBL_DATA_FIELDS[[#This Row],[PCT_CALC_SHOW_STATUS_CODE]]=2,DB_TBL_DATA_FIELDS[[#This Row],[FIELD_STATUS_CODE]]=0),
DB_TBL_DATA_FIELDS[[#This Row],[FIELD_STATUS_CODE]],
"")
)</f>
        <v/>
      </c>
      <c r="AB33" s="2" t="s">
        <v>2491</v>
      </c>
      <c r="AC33" s="1" t="s">
        <v>2492</v>
      </c>
    </row>
    <row r="34" spans="1:29" x14ac:dyDescent="0.3">
      <c r="A34" s="1" t="s">
        <v>2226</v>
      </c>
      <c r="B34" s="171"/>
      <c r="C34" s="1" t="str">
        <f>IF($H$9&lt;&gt;"I",IF(DB_TBL_DATA_FIELDS[[#This Row],[SHEET_REF_WISH]]&lt;&gt;"",DB_TBL_DATA_FIELDS[[#This Row],[SHEET_REF_WISH]],""),IF(DB_TBL_DATA_FIELDS[[#This Row],[SHEET_REF_IDEA]]&lt;&gt;"",DB_TBL_DATA_FIELDS[[#This Row],[SHEET_REF_IDEA]],""))</f>
        <v>WISH</v>
      </c>
      <c r="D34" s="1" t="s">
        <v>2471</v>
      </c>
      <c r="E34" s="1" t="b">
        <v>0</v>
      </c>
      <c r="F34" s="11" t="b">
        <v>0</v>
      </c>
      <c r="G34" s="2" t="s">
        <v>2499</v>
      </c>
      <c r="H34" s="2" t="str">
        <f ca="1">IFERROR(VLOOKUP(DB_TBL_DATA_FIELDS[[#This Row],[FIELD_ID]],INDIRECT(DB_TBL_DATA_FIELDS[[#This Row],[SHEET_REF_CALC]]&amp;"!A:B"),2,FALSE),"")</f>
        <v/>
      </c>
      <c r="J34" s="2" t="b">
        <f ca="1">(DB_TBL_DATA_FIELDS[[#This Row],[FIELD_VALUE_RAW]]="")</f>
        <v>1</v>
      </c>
      <c r="K34" s="2" t="s">
        <v>144</v>
      </c>
      <c r="L34" s="1" t="b">
        <f>AND(IF(DB_TBL_DATA_FIELDS[[#This Row],[FIELD_VALID_CUSTOM_LOGIC]]="",TRUE,DB_TBL_DATA_FIELDS[[#This Row],[FIELD_VALID_CUSTOM_LOGIC]]),DB_TBL_DATA_FIELDS[[#This Row],[RANGE_VALIDATION_PASSED_FLAG]])</f>
        <v>1</v>
      </c>
      <c r="M34"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34" s="1">
        <f ca="1">IF(DB_TBL_DATA_FIELDS[[#This Row],[SHEET_REF_CALC]]="","",IF(DB_TBL_DATA_FIELDS[[#This Row],[FIELD_EMPTY_FLAG]],IF(NOT(DB_TBL_DATA_FIELDS[[#This Row],[FIELD_REQ_FLAG]]),-1,1),IF(NOT(DB_TBL_DATA_FIELDS[[#This Row],[FIELD_VALID_FLAG]]),0,2)))</f>
        <v>-1</v>
      </c>
      <c r="O34" s="1" t="str">
        <f ca="1">IFERROR(VLOOKUP(DB_TBL_DATA_FIELDS[[#This Row],[FIELD_STATUS_CODE]],DB_TBL_CONFIG_FIELDSTATUSCODES[#All],3,FALSE),"")</f>
        <v>Optional</v>
      </c>
      <c r="P34" s="1" t="str">
        <f ca="1">IFERROR(VLOOKUP(DB_TBL_DATA_FIELDS[[#This Row],[FIELD_STATUS_CODE]],DB_TBL_CONFIG_FIELDSTATUSCODES[#All],4,FALSE),"")</f>
        <v xml:space="preserve"> </v>
      </c>
      <c r="Q34" s="1" t="b">
        <f>TRUE</f>
        <v>1</v>
      </c>
      <c r="R34" s="1" t="b">
        <v>0</v>
      </c>
      <c r="T34" s="1">
        <f ca="1">IF(DB_TBL_DATA_FIELDS[[#This Row],[RANGE_VALIDATION_FLAG]]="Text",LEN(DB_TBL_DATA_FIELDS[[#This Row],[FIELD_VALUE_RAW]]),IFERROR(VALUE(DB_TBL_DATA_FIELDS[[#This Row],[FIELD_VALUE_RAW]]),-1))</f>
        <v>-1</v>
      </c>
      <c r="U34" s="1">
        <v>0</v>
      </c>
      <c r="V34" s="1">
        <v>1</v>
      </c>
      <c r="W34" s="1" t="b">
        <f>IF(NOT(DB_TBL_DATA_FIELDS[[#This Row],[RANGE_VALIDATION_ON_FLAG]]),TRUE,
AND(DB_TBL_DATA_FIELDS[[#This Row],[RANGE_VALUE_LEN]]&gt;=DB_TBL_DATA_FIELDS[[#This Row],[RANGE_VALIDATION_MIN]],DB_TBL_DATA_FIELDS[[#This Row],[RANGE_VALUE_LEN]]&lt;=DB_TBL_DATA_FIELDS[[#This Row],[RANGE_VALIDATION_MAX]]))</f>
        <v>1</v>
      </c>
      <c r="X34" s="1">
        <v>0</v>
      </c>
      <c r="Y34" s="1" t="str">
        <f ca="1">IF(DB_TBL_DATA_FIELDS[[#This Row],[PCT_CALC_SHOW_STATUS_CODE]]=1,
DB_TBL_DATA_FIELDS[[#This Row],[FIELD_STATUS_CODE]],
IF(AND(DB_TBL_DATA_FIELDS[[#This Row],[PCT_CALC_SHOW_STATUS_CODE]]=2,DB_TBL_DATA_FIELDS[[#This Row],[FIELD_STATUS_CODE]]=0),
DB_TBL_DATA_FIELDS[[#This Row],[FIELD_STATUS_CODE]],
"")
)</f>
        <v/>
      </c>
      <c r="AB34" s="2" t="s">
        <v>2491</v>
      </c>
      <c r="AC34" s="1" t="s">
        <v>2492</v>
      </c>
    </row>
    <row r="35" spans="1:29" x14ac:dyDescent="0.3">
      <c r="A35" s="1" t="s">
        <v>2226</v>
      </c>
      <c r="B35" s="171"/>
      <c r="C35" s="1" t="str">
        <f>IF($H$9&lt;&gt;"I",IF(DB_TBL_DATA_FIELDS[[#This Row],[SHEET_REF_WISH]]&lt;&gt;"",DB_TBL_DATA_FIELDS[[#This Row],[SHEET_REF_WISH]],""),IF(DB_TBL_DATA_FIELDS[[#This Row],[SHEET_REF_IDEA]]&lt;&gt;"",DB_TBL_DATA_FIELDS[[#This Row],[SHEET_REF_IDEA]],""))</f>
        <v>WISH</v>
      </c>
      <c r="D35" s="1" t="s">
        <v>2472</v>
      </c>
      <c r="E35" s="1" t="b">
        <v>0</v>
      </c>
      <c r="F35" s="11" t="b">
        <v>0</v>
      </c>
      <c r="G35" s="2" t="s">
        <v>2500</v>
      </c>
      <c r="H35" s="2" t="str">
        <f ca="1">IFERROR(VLOOKUP(DB_TBL_DATA_FIELDS[[#This Row],[FIELD_ID]],INDIRECT(DB_TBL_DATA_FIELDS[[#This Row],[SHEET_REF_CALC]]&amp;"!A:B"),2,FALSE),"")</f>
        <v/>
      </c>
      <c r="J35" s="2" t="b">
        <f ca="1">(DB_TBL_DATA_FIELDS[[#This Row],[FIELD_VALUE_RAW]]="")</f>
        <v>1</v>
      </c>
      <c r="K35" s="2" t="s">
        <v>144</v>
      </c>
      <c r="L35" s="1" t="b">
        <f>AND(IF(DB_TBL_DATA_FIELDS[[#This Row],[FIELD_VALID_CUSTOM_LOGIC]]="",TRUE,DB_TBL_DATA_FIELDS[[#This Row],[FIELD_VALID_CUSTOM_LOGIC]]),DB_TBL_DATA_FIELDS[[#This Row],[RANGE_VALIDATION_PASSED_FLAG]])</f>
        <v>1</v>
      </c>
      <c r="M35"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35" s="1">
        <f ca="1">IF(DB_TBL_DATA_FIELDS[[#This Row],[SHEET_REF_CALC]]="","",IF(DB_TBL_DATA_FIELDS[[#This Row],[FIELD_EMPTY_FLAG]],IF(NOT(DB_TBL_DATA_FIELDS[[#This Row],[FIELD_REQ_FLAG]]),-1,1),IF(NOT(DB_TBL_DATA_FIELDS[[#This Row],[FIELD_VALID_FLAG]]),0,2)))</f>
        <v>-1</v>
      </c>
      <c r="O35" s="1" t="str">
        <f ca="1">IFERROR(VLOOKUP(DB_TBL_DATA_FIELDS[[#This Row],[FIELD_STATUS_CODE]],DB_TBL_CONFIG_FIELDSTATUSCODES[#All],3,FALSE),"")</f>
        <v>Optional</v>
      </c>
      <c r="P35" s="1" t="str">
        <f ca="1">IFERROR(VLOOKUP(DB_TBL_DATA_FIELDS[[#This Row],[FIELD_STATUS_CODE]],DB_TBL_CONFIG_FIELDSTATUSCODES[#All],4,FALSE),"")</f>
        <v xml:space="preserve"> </v>
      </c>
      <c r="Q35" s="1" t="b">
        <f>TRUE</f>
        <v>1</v>
      </c>
      <c r="R35" s="1" t="b">
        <v>0</v>
      </c>
      <c r="T35" s="1">
        <f ca="1">IF(DB_TBL_DATA_FIELDS[[#This Row],[RANGE_VALIDATION_FLAG]]="Text",LEN(DB_TBL_DATA_FIELDS[[#This Row],[FIELD_VALUE_RAW]]),IFERROR(VALUE(DB_TBL_DATA_FIELDS[[#This Row],[FIELD_VALUE_RAW]]),-1))</f>
        <v>-1</v>
      </c>
      <c r="U35" s="1">
        <v>0</v>
      </c>
      <c r="V35" s="1">
        <v>1</v>
      </c>
      <c r="W35" s="1" t="b">
        <f>IF(NOT(DB_TBL_DATA_FIELDS[[#This Row],[RANGE_VALIDATION_ON_FLAG]]),TRUE,
AND(DB_TBL_DATA_FIELDS[[#This Row],[RANGE_VALUE_LEN]]&gt;=DB_TBL_DATA_FIELDS[[#This Row],[RANGE_VALIDATION_MIN]],DB_TBL_DATA_FIELDS[[#This Row],[RANGE_VALUE_LEN]]&lt;=DB_TBL_DATA_FIELDS[[#This Row],[RANGE_VALIDATION_MAX]]))</f>
        <v>1</v>
      </c>
      <c r="X35" s="1">
        <v>0</v>
      </c>
      <c r="Y35" s="1" t="str">
        <f ca="1">IF(DB_TBL_DATA_FIELDS[[#This Row],[PCT_CALC_SHOW_STATUS_CODE]]=1,
DB_TBL_DATA_FIELDS[[#This Row],[FIELD_STATUS_CODE]],
IF(AND(DB_TBL_DATA_FIELDS[[#This Row],[PCT_CALC_SHOW_STATUS_CODE]]=2,DB_TBL_DATA_FIELDS[[#This Row],[FIELD_STATUS_CODE]]=0),
DB_TBL_DATA_FIELDS[[#This Row],[FIELD_STATUS_CODE]],
"")
)</f>
        <v/>
      </c>
      <c r="AB35" s="2" t="s">
        <v>2491</v>
      </c>
      <c r="AC35" s="1" t="s">
        <v>2492</v>
      </c>
    </row>
    <row r="36" spans="1:29" x14ac:dyDescent="0.3">
      <c r="A36" s="1" t="s">
        <v>2226</v>
      </c>
      <c r="B36" s="171"/>
      <c r="C36" s="1" t="str">
        <f>IF($H$9&lt;&gt;"I",IF(DB_TBL_DATA_FIELDS[[#This Row],[SHEET_REF_WISH]]&lt;&gt;"",DB_TBL_DATA_FIELDS[[#This Row],[SHEET_REF_WISH]],""),IF(DB_TBL_DATA_FIELDS[[#This Row],[SHEET_REF_IDEA]]&lt;&gt;"",DB_TBL_DATA_FIELDS[[#This Row],[SHEET_REF_IDEA]],""))</f>
        <v>WISH</v>
      </c>
      <c r="D36" s="1" t="s">
        <v>2473</v>
      </c>
      <c r="E36" s="1" t="b">
        <v>0</v>
      </c>
      <c r="F36" s="11" t="b">
        <v>0</v>
      </c>
      <c r="G36" s="2" t="s">
        <v>2501</v>
      </c>
      <c r="H36" s="2" t="str">
        <f ca="1">IFERROR(VLOOKUP(DB_TBL_DATA_FIELDS[[#This Row],[FIELD_ID]],INDIRECT(DB_TBL_DATA_FIELDS[[#This Row],[SHEET_REF_CALC]]&amp;"!A:B"),2,FALSE),"")</f>
        <v/>
      </c>
      <c r="J36" s="2" t="b">
        <f ca="1">(DB_TBL_DATA_FIELDS[[#This Row],[FIELD_VALUE_RAW]]="")</f>
        <v>1</v>
      </c>
      <c r="K36" s="2" t="s">
        <v>144</v>
      </c>
      <c r="L36" s="1" t="b">
        <f>AND(IF(DB_TBL_DATA_FIELDS[[#This Row],[FIELD_VALID_CUSTOM_LOGIC]]="",TRUE,DB_TBL_DATA_FIELDS[[#This Row],[FIELD_VALID_CUSTOM_LOGIC]]),DB_TBL_DATA_FIELDS[[#This Row],[RANGE_VALIDATION_PASSED_FLAG]])</f>
        <v>1</v>
      </c>
      <c r="M36"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36" s="1">
        <f ca="1">IF(DB_TBL_DATA_FIELDS[[#This Row],[SHEET_REF_CALC]]="","",IF(DB_TBL_DATA_FIELDS[[#This Row],[FIELD_EMPTY_FLAG]],IF(NOT(DB_TBL_DATA_FIELDS[[#This Row],[FIELD_REQ_FLAG]]),-1,1),IF(NOT(DB_TBL_DATA_FIELDS[[#This Row],[FIELD_VALID_FLAG]]),0,2)))</f>
        <v>-1</v>
      </c>
      <c r="O36" s="1" t="str">
        <f ca="1">IFERROR(VLOOKUP(DB_TBL_DATA_FIELDS[[#This Row],[FIELD_STATUS_CODE]],DB_TBL_CONFIG_FIELDSTATUSCODES[#All],3,FALSE),"")</f>
        <v>Optional</v>
      </c>
      <c r="P36" s="1" t="str">
        <f ca="1">IFERROR(VLOOKUP(DB_TBL_DATA_FIELDS[[#This Row],[FIELD_STATUS_CODE]],DB_TBL_CONFIG_FIELDSTATUSCODES[#All],4,FALSE),"")</f>
        <v xml:space="preserve"> </v>
      </c>
      <c r="Q36" s="1" t="b">
        <f>TRUE</f>
        <v>1</v>
      </c>
      <c r="R36" s="1" t="b">
        <v>0</v>
      </c>
      <c r="T36" s="1">
        <f ca="1">IF(DB_TBL_DATA_FIELDS[[#This Row],[RANGE_VALIDATION_FLAG]]="Text",LEN(DB_TBL_DATA_FIELDS[[#This Row],[FIELD_VALUE_RAW]]),IFERROR(VALUE(DB_TBL_DATA_FIELDS[[#This Row],[FIELD_VALUE_RAW]]),-1))</f>
        <v>-1</v>
      </c>
      <c r="U36" s="1">
        <v>0</v>
      </c>
      <c r="V36" s="1">
        <v>1</v>
      </c>
      <c r="W36" s="1" t="b">
        <f>IF(NOT(DB_TBL_DATA_FIELDS[[#This Row],[RANGE_VALIDATION_ON_FLAG]]),TRUE,
AND(DB_TBL_DATA_FIELDS[[#This Row],[RANGE_VALUE_LEN]]&gt;=DB_TBL_DATA_FIELDS[[#This Row],[RANGE_VALIDATION_MIN]],DB_TBL_DATA_FIELDS[[#This Row],[RANGE_VALUE_LEN]]&lt;=DB_TBL_DATA_FIELDS[[#This Row],[RANGE_VALIDATION_MAX]]))</f>
        <v>1</v>
      </c>
      <c r="X36" s="1">
        <v>0</v>
      </c>
      <c r="Y36" s="1" t="str">
        <f ca="1">IF(DB_TBL_DATA_FIELDS[[#This Row],[PCT_CALC_SHOW_STATUS_CODE]]=1,
DB_TBL_DATA_FIELDS[[#This Row],[FIELD_STATUS_CODE]],
IF(AND(DB_TBL_DATA_FIELDS[[#This Row],[PCT_CALC_SHOW_STATUS_CODE]]=2,DB_TBL_DATA_FIELDS[[#This Row],[FIELD_STATUS_CODE]]=0),
DB_TBL_DATA_FIELDS[[#This Row],[FIELD_STATUS_CODE]],
"")
)</f>
        <v/>
      </c>
      <c r="AB36" s="2" t="s">
        <v>2491</v>
      </c>
      <c r="AC36" s="1" t="s">
        <v>2492</v>
      </c>
    </row>
    <row r="37" spans="1:29" x14ac:dyDescent="0.3">
      <c r="A37" s="1" t="s">
        <v>2226</v>
      </c>
      <c r="B37" s="171"/>
      <c r="C37" s="1" t="str">
        <f>IF($H$9&lt;&gt;"I",IF(DB_TBL_DATA_FIELDS[[#This Row],[SHEET_REF_WISH]]&lt;&gt;"",DB_TBL_DATA_FIELDS[[#This Row],[SHEET_REF_WISH]],""),IF(DB_TBL_DATA_FIELDS[[#This Row],[SHEET_REF_IDEA]]&lt;&gt;"",DB_TBL_DATA_FIELDS[[#This Row],[SHEET_REF_IDEA]],""))</f>
        <v>WISH</v>
      </c>
      <c r="D37" s="1" t="s">
        <v>2474</v>
      </c>
      <c r="E37" s="1" t="b">
        <v>1</v>
      </c>
      <c r="F37" s="11" t="b">
        <v>0</v>
      </c>
      <c r="G37" s="2" t="s">
        <v>2502</v>
      </c>
      <c r="H37" s="14" t="str">
        <f ca="1">IFERROR(MID(
IF(H31,",AIAN","")&amp;
IF(H32,",A","")&amp;
IF(H33,",BAA","")&amp;
IF(H34,",NHOPI","")&amp;
IF(H35,",W","")&amp;
IF(H36,",NA",""),2,2000),"")</f>
        <v/>
      </c>
      <c r="I37" s="14" t="str">
        <f ca="1">IF(DB_TBL_DATA_FIELDS[[#This Row],[FIELD_EMPTY_FLAG]],"",IF(AND(H36=TRUE,COUNTIF(H31:H35,"TRUE")&gt;0),FALSE,TRUE))</f>
        <v/>
      </c>
      <c r="J37" s="2" t="b">
        <f ca="1">(DB_TBL_DATA_FIELDS[[#This Row],[FIELD_VALUE_RAW]]="")</f>
        <v>1</v>
      </c>
      <c r="K37" s="2" t="s">
        <v>11</v>
      </c>
      <c r="L37" s="1" t="b">
        <f ca="1">AND(IF(DB_TBL_DATA_FIELDS[[#This Row],[FIELD_VALID_CUSTOM_LOGIC]]="",TRUE,DB_TBL_DATA_FIELDS[[#This Row],[FIELD_VALID_CUSTOM_LOGIC]]),DB_TBL_DATA_FIELDS[[#This Row],[RANGE_VALIDATION_PASSED_FLAG]])</f>
        <v>1</v>
      </c>
      <c r="M37"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37" s="1">
        <f ca="1">IF(DB_TBL_DATA_FIELDS[[#This Row],[SHEET_REF_CALC]]="","",IF(DB_TBL_DATA_FIELDS[[#This Row],[FIELD_EMPTY_FLAG]],IF(NOT(DB_TBL_DATA_FIELDS[[#This Row],[FIELD_REQ_FLAG]]),-1,1),IF(NOT(DB_TBL_DATA_FIELDS[[#This Row],[FIELD_VALID_FLAG]]),0,2)))</f>
        <v>-1</v>
      </c>
      <c r="O37" s="1" t="str">
        <f ca="1">IFERROR(VLOOKUP(DB_TBL_DATA_FIELDS[[#This Row],[FIELD_STATUS_CODE]],DB_TBL_CONFIG_FIELDSTATUSCODES[#All],3,FALSE),"")</f>
        <v>Optional</v>
      </c>
      <c r="P37" s="1" t="str">
        <f ca="1">IFERROR(VLOOKUP(DB_TBL_DATA_FIELDS[[#This Row],[FIELD_STATUS_CODE]],DB_TBL_CONFIG_FIELDSTATUSCODES[#All],4,FALSE),"")</f>
        <v xml:space="preserve"> </v>
      </c>
      <c r="Q37" s="1" t="b">
        <f>TRUE</f>
        <v>1</v>
      </c>
      <c r="R37" s="1" t="b">
        <f>TRUE</f>
        <v>1</v>
      </c>
      <c r="S37" s="1" t="s">
        <v>11</v>
      </c>
      <c r="T37" s="1">
        <f ca="1">IF(DB_TBL_DATA_FIELDS[[#This Row],[RANGE_VALIDATION_FLAG]]="Text",LEN(DB_TBL_DATA_FIELDS[[#This Row],[FIELD_VALUE_RAW]]),IFERROR(VALUE(DB_TBL_DATA_FIELDS[[#This Row],[FIELD_VALUE_RAW]]),-1))</f>
        <v>0</v>
      </c>
      <c r="U37" s="1">
        <v>0</v>
      </c>
      <c r="V37" s="1">
        <v>100</v>
      </c>
      <c r="W37" s="1" t="b">
        <f ca="1">IF(NOT(DB_TBL_DATA_FIELDS[[#This Row],[RANGE_VALIDATION_ON_FLAG]]),TRUE,
AND(DB_TBL_DATA_FIELDS[[#This Row],[RANGE_VALUE_LEN]]&gt;=DB_TBL_DATA_FIELDS[[#This Row],[RANGE_VALIDATION_MIN]],DB_TBL_DATA_FIELDS[[#This Row],[RANGE_VALUE_LEN]]&lt;=DB_TBL_DATA_FIELDS[[#This Row],[RANGE_VALIDATION_MAX]]))</f>
        <v>1</v>
      </c>
      <c r="X37" s="1">
        <v>0</v>
      </c>
      <c r="Y37" s="1" t="str">
        <f ca="1">IF(DB_TBL_DATA_FIELDS[[#This Row],[PCT_CALC_SHOW_STATUS_CODE]]=1,
DB_TBL_DATA_FIELDS[[#This Row],[FIELD_STATUS_CODE]],
IF(AND(DB_TBL_DATA_FIELDS[[#This Row],[PCT_CALC_SHOW_STATUS_CODE]]=2,DB_TBL_DATA_FIELDS[[#This Row],[FIELD_STATUS_CODE]]=0),
DB_TBL_DATA_FIELDS[[#This Row],[FIELD_STATUS_CODE]],
"")
)</f>
        <v/>
      </c>
      <c r="Z37" s="36" t="str">
        <f ca="1">IF(DB_TBL_DATA_FIELDS[[#This Row],[FIELD_STATUS_CODE]]=0,IF(NOT(DB_TBL_DATA_FIELDS[[#This Row],[FIELD_VALID_CUSTOM_LOGIC]]),
"Invalid Options Selected: other options must not be selected if 'I do not wish to provide this information' is selected",""),"")</f>
        <v/>
      </c>
      <c r="AB37" s="2" t="s">
        <v>2491</v>
      </c>
      <c r="AC37" s="1" t="s">
        <v>2492</v>
      </c>
    </row>
    <row r="38" spans="1:29" x14ac:dyDescent="0.3">
      <c r="A38" s="1" t="s">
        <v>2226</v>
      </c>
      <c r="B38" s="171"/>
      <c r="C38" s="1" t="str">
        <f>IF($H$9&lt;&gt;"I",IF(DB_TBL_DATA_FIELDS[[#This Row],[SHEET_REF_WISH]]&lt;&gt;"",DB_TBL_DATA_FIELDS[[#This Row],[SHEET_REF_WISH]],""),IF(DB_TBL_DATA_FIELDS[[#This Row],[SHEET_REF_IDEA]]&lt;&gt;"",DB_TBL_DATA_FIELDS[[#This Row],[SHEET_REF_IDEA]],""))</f>
        <v>WISH</v>
      </c>
      <c r="D38" s="1" t="s">
        <v>2475</v>
      </c>
      <c r="E38" s="1" t="b">
        <v>0</v>
      </c>
      <c r="F38" s="11" t="b">
        <v>0</v>
      </c>
      <c r="G38" s="2" t="s">
        <v>2503</v>
      </c>
      <c r="H38" s="2" t="str">
        <f ca="1">IFERROR(VLOOKUP(DB_TBL_DATA_FIELDS[[#This Row],[FIELD_ID]],INDIRECT(DB_TBL_DATA_FIELDS[[#This Row],[SHEET_REF_CALC]]&amp;"!A:B"),2,FALSE),"")</f>
        <v/>
      </c>
      <c r="I38" s="14" t="str">
        <f ca="1">IF(DB_TBL_DATA_FIELDS[[#This Row],[FIELD_EMPTY_FLAG]],"",DB_TBL_DATA_FIELDS[[#This Row],[FIELD_REQ_FLAG]])</f>
        <v/>
      </c>
      <c r="J38" s="2" t="b">
        <f ca="1">(DB_TBL_DATA_FIELDS[[#This Row],[FIELD_VALUE_RAW]]="")</f>
        <v>1</v>
      </c>
      <c r="K38" s="2" t="s">
        <v>11</v>
      </c>
      <c r="L38" s="1" t="b">
        <f ca="1">AND(IF(DB_TBL_DATA_FIELDS[[#This Row],[FIELD_VALID_CUSTOM_LOGIC]]="",TRUE,DB_TBL_DATA_FIELDS[[#This Row],[FIELD_VALID_CUSTOM_LOGIC]]),DB_TBL_DATA_FIELDS[[#This Row],[RANGE_VALIDATION_PASSED_FLAG]])</f>
        <v>1</v>
      </c>
      <c r="M38"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38" s="1">
        <f ca="1">IF(DB_TBL_DATA_FIELDS[[#This Row],[SHEET_REF_CALC]]="","",IF(DB_TBL_DATA_FIELDS[[#This Row],[FIELD_EMPTY_FLAG]],IF(NOT(DB_TBL_DATA_FIELDS[[#This Row],[FIELD_REQ_FLAG]]),-1,1),IF(NOT(DB_TBL_DATA_FIELDS[[#This Row],[FIELD_VALID_FLAG]]),0,2)))</f>
        <v>-1</v>
      </c>
      <c r="O38" s="1" t="str">
        <f ca="1">IFERROR(VLOOKUP(DB_TBL_DATA_FIELDS[[#This Row],[FIELD_STATUS_CODE]],DB_TBL_CONFIG_FIELDSTATUSCODES[#All],3,FALSE),"")</f>
        <v>Optional</v>
      </c>
      <c r="P38" s="1" t="str">
        <f ca="1">IFERROR(VLOOKUP(DB_TBL_DATA_FIELDS[[#This Row],[FIELD_STATUS_CODE]],DB_TBL_CONFIG_FIELDSTATUSCODES[#All],4,FALSE),"")</f>
        <v xml:space="preserve"> </v>
      </c>
      <c r="Q38" s="1" t="b">
        <f>TRUE</f>
        <v>1</v>
      </c>
      <c r="R38" s="1" t="b">
        <f>TRUE</f>
        <v>1</v>
      </c>
      <c r="S38" s="1" t="s">
        <v>11</v>
      </c>
      <c r="T38" s="1">
        <f ca="1">IF(DB_TBL_DATA_FIELDS[[#This Row],[RANGE_VALIDATION_FLAG]]="Text",LEN(DB_TBL_DATA_FIELDS[[#This Row],[FIELD_VALUE_RAW]]),IFERROR(VALUE(DB_TBL_DATA_FIELDS[[#This Row],[FIELD_VALUE_RAW]]),-1))</f>
        <v>0</v>
      </c>
      <c r="U38" s="1">
        <v>0</v>
      </c>
      <c r="V38" s="1">
        <v>100</v>
      </c>
      <c r="W38" s="1" t="b">
        <f ca="1">IF(NOT(DB_TBL_DATA_FIELDS[[#This Row],[RANGE_VALIDATION_ON_FLAG]]),TRUE,
AND(DB_TBL_DATA_FIELDS[[#This Row],[RANGE_VALUE_LEN]]&gt;=DB_TBL_DATA_FIELDS[[#This Row],[RANGE_VALIDATION_MIN]],DB_TBL_DATA_FIELDS[[#This Row],[RANGE_VALUE_LEN]]&lt;=DB_TBL_DATA_FIELDS[[#This Row],[RANGE_VALIDATION_MAX]]))</f>
        <v>1</v>
      </c>
      <c r="X38" s="1">
        <v>0</v>
      </c>
      <c r="Y38" s="1" t="str">
        <f ca="1">IF(DB_TBL_DATA_FIELDS[[#This Row],[PCT_CALC_SHOW_STATUS_CODE]]=1,
DB_TBL_DATA_FIELDS[[#This Row],[FIELD_STATUS_CODE]],
IF(AND(DB_TBL_DATA_FIELDS[[#This Row],[PCT_CALC_SHOW_STATUS_CODE]]=2,DB_TBL_DATA_FIELDS[[#This Row],[FIELD_STATUS_CODE]]=0),
DB_TBL_DATA_FIELDS[[#This Row],[FIELD_STATUS_CODE]],
"")
)</f>
        <v/>
      </c>
      <c r="AB38" s="2" t="s">
        <v>2491</v>
      </c>
      <c r="AC38" s="1" t="s">
        <v>2492</v>
      </c>
    </row>
    <row r="39" spans="1:29" x14ac:dyDescent="0.3">
      <c r="A39" s="1" t="s">
        <v>2226</v>
      </c>
      <c r="B39" s="171"/>
      <c r="C39" s="1" t="str">
        <f>IF($H$9&lt;&gt;"I",IF(DB_TBL_DATA_FIELDS[[#This Row],[SHEET_REF_WISH]]&lt;&gt;"",DB_TBL_DATA_FIELDS[[#This Row],[SHEET_REF_WISH]],""),IF(DB_TBL_DATA_FIELDS[[#This Row],[SHEET_REF_IDEA]]&lt;&gt;"",DB_TBL_DATA_FIELDS[[#This Row],[SHEET_REF_IDEA]],""))</f>
        <v>WISH</v>
      </c>
      <c r="D39" s="1" t="s">
        <v>2495</v>
      </c>
      <c r="E39" s="1" t="b">
        <v>1</v>
      </c>
      <c r="F39" s="11" t="b">
        <v>0</v>
      </c>
      <c r="G39" s="2" t="s">
        <v>2504</v>
      </c>
      <c r="H39" s="14" t="str">
        <f ca="1">IF(J38,"",VLOOKUP(DATA_HOMEBUYER_2_ETHNICITY,'$DB.LOOKUP'!$Z$3:$AA$5,2,FALSE))</f>
        <v/>
      </c>
      <c r="J39" s="2" t="b">
        <f ca="1">(DB_TBL_DATA_FIELDS[[#This Row],[FIELD_VALUE_RAW]]="")</f>
        <v>1</v>
      </c>
      <c r="K39" s="2" t="s">
        <v>11</v>
      </c>
      <c r="L39" s="1" t="b">
        <f ca="1">AND(IF(DB_TBL_DATA_FIELDS[[#This Row],[FIELD_VALID_CUSTOM_LOGIC]]="",TRUE,DB_TBL_DATA_FIELDS[[#This Row],[FIELD_VALID_CUSTOM_LOGIC]]),DB_TBL_DATA_FIELDS[[#This Row],[RANGE_VALIDATION_PASSED_FLAG]])</f>
        <v>1</v>
      </c>
      <c r="M39"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39" s="1">
        <f ca="1">IF(DB_TBL_DATA_FIELDS[[#This Row],[SHEET_REF_CALC]]="","",IF(DB_TBL_DATA_FIELDS[[#This Row],[FIELD_EMPTY_FLAG]],IF(NOT(DB_TBL_DATA_FIELDS[[#This Row],[FIELD_REQ_FLAG]]),-1,1),IF(NOT(DB_TBL_DATA_FIELDS[[#This Row],[FIELD_VALID_FLAG]]),0,2)))</f>
        <v>-1</v>
      </c>
      <c r="O39" s="1" t="str">
        <f ca="1">IFERROR(VLOOKUP(DB_TBL_DATA_FIELDS[[#This Row],[FIELD_STATUS_CODE]],DB_TBL_CONFIG_FIELDSTATUSCODES[#All],3,FALSE),"")</f>
        <v>Optional</v>
      </c>
      <c r="P39" s="1" t="str">
        <f ca="1">IFERROR(VLOOKUP(DB_TBL_DATA_FIELDS[[#This Row],[FIELD_STATUS_CODE]],DB_TBL_CONFIG_FIELDSTATUSCODES[#All],4,FALSE),"")</f>
        <v xml:space="preserve"> </v>
      </c>
      <c r="Q39" s="1" t="b">
        <f>TRUE</f>
        <v>1</v>
      </c>
      <c r="R39" s="1" t="b">
        <f>TRUE</f>
        <v>1</v>
      </c>
      <c r="S39" s="1" t="s">
        <v>11</v>
      </c>
      <c r="T39" s="1">
        <f ca="1">IF(DB_TBL_DATA_FIELDS[[#This Row],[RANGE_VALIDATION_FLAG]]="Text",LEN(DB_TBL_DATA_FIELDS[[#This Row],[FIELD_VALUE_RAW]]),IFERROR(VALUE(DB_TBL_DATA_FIELDS[[#This Row],[FIELD_VALUE_RAW]]),-1))</f>
        <v>0</v>
      </c>
      <c r="U39" s="1">
        <v>0</v>
      </c>
      <c r="V39" s="1">
        <v>100</v>
      </c>
      <c r="W39" s="1" t="b">
        <f ca="1">IF(NOT(DB_TBL_DATA_FIELDS[[#This Row],[RANGE_VALIDATION_ON_FLAG]]),TRUE,
AND(DB_TBL_DATA_FIELDS[[#This Row],[RANGE_VALUE_LEN]]&gt;=DB_TBL_DATA_FIELDS[[#This Row],[RANGE_VALIDATION_MIN]],DB_TBL_DATA_FIELDS[[#This Row],[RANGE_VALUE_LEN]]&lt;=DB_TBL_DATA_FIELDS[[#This Row],[RANGE_VALIDATION_MAX]]))</f>
        <v>1</v>
      </c>
      <c r="X39" s="1">
        <v>0</v>
      </c>
      <c r="Y39" s="1" t="str">
        <f ca="1">IF(DB_TBL_DATA_FIELDS[[#This Row],[PCT_CALC_SHOW_STATUS_CODE]]=1,
DB_TBL_DATA_FIELDS[[#This Row],[FIELD_STATUS_CODE]],
IF(AND(DB_TBL_DATA_FIELDS[[#This Row],[PCT_CALC_SHOW_STATUS_CODE]]=2,DB_TBL_DATA_FIELDS[[#This Row],[FIELD_STATUS_CODE]]=0),
DB_TBL_DATA_FIELDS[[#This Row],[FIELD_STATUS_CODE]],
"")
)</f>
        <v/>
      </c>
      <c r="AB39" s="2" t="s">
        <v>2491</v>
      </c>
      <c r="AC39" s="1" t="s">
        <v>2492</v>
      </c>
    </row>
    <row r="40" spans="1:29" x14ac:dyDescent="0.3">
      <c r="A40" s="1" t="s">
        <v>2226</v>
      </c>
      <c r="B40" s="171"/>
      <c r="C40" s="1" t="str">
        <f>IF($H$9&lt;&gt;"I",IF(DB_TBL_DATA_FIELDS[[#This Row],[SHEET_REF_WISH]]&lt;&gt;"",DB_TBL_DATA_FIELDS[[#This Row],[SHEET_REF_WISH]],""),IF(DB_TBL_DATA_FIELDS[[#This Row],[SHEET_REF_IDEA]]&lt;&gt;"",DB_TBL_DATA_FIELDS[[#This Row],[SHEET_REF_IDEA]],""))</f>
        <v>WISH</v>
      </c>
      <c r="D40" s="1" t="s">
        <v>2476</v>
      </c>
      <c r="E40" s="1" t="b">
        <v>0</v>
      </c>
      <c r="F40" s="11" t="b">
        <v>0</v>
      </c>
      <c r="G40" s="2" t="s">
        <v>2505</v>
      </c>
      <c r="H40" s="2" t="str">
        <f ca="1">IFERROR(VLOOKUP(DB_TBL_DATA_FIELDS[[#This Row],[FIELD_ID]],INDIRECT(DB_TBL_DATA_FIELDS[[#This Row],[SHEET_REF_CALC]]&amp;"!A:B"),2,FALSE),"")</f>
        <v/>
      </c>
      <c r="J40" s="2" t="b">
        <f ca="1">(DB_TBL_DATA_FIELDS[[#This Row],[FIELD_VALUE_RAW]]="")</f>
        <v>1</v>
      </c>
      <c r="K40" s="2" t="s">
        <v>144</v>
      </c>
      <c r="L40" s="1" t="b">
        <f>AND(IF(DB_TBL_DATA_FIELDS[[#This Row],[FIELD_VALID_CUSTOM_LOGIC]]="",TRUE,DB_TBL_DATA_FIELDS[[#This Row],[FIELD_VALID_CUSTOM_LOGIC]]),DB_TBL_DATA_FIELDS[[#This Row],[RANGE_VALIDATION_PASSED_FLAG]])</f>
        <v>1</v>
      </c>
      <c r="M40"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40" s="1">
        <f ca="1">IF(DB_TBL_DATA_FIELDS[[#This Row],[SHEET_REF_CALC]]="","",IF(DB_TBL_DATA_FIELDS[[#This Row],[FIELD_EMPTY_FLAG]],IF(NOT(DB_TBL_DATA_FIELDS[[#This Row],[FIELD_REQ_FLAG]]),-1,1),IF(NOT(DB_TBL_DATA_FIELDS[[#This Row],[FIELD_VALID_FLAG]]),0,2)))</f>
        <v>-1</v>
      </c>
      <c r="O40" s="1" t="str">
        <f ca="1">IFERROR(VLOOKUP(DB_TBL_DATA_FIELDS[[#This Row],[FIELD_STATUS_CODE]],DB_TBL_CONFIG_FIELDSTATUSCODES[#All],3,FALSE),"")</f>
        <v>Optional</v>
      </c>
      <c r="P40" s="1" t="str">
        <f ca="1">IFERROR(VLOOKUP(DB_TBL_DATA_FIELDS[[#This Row],[FIELD_STATUS_CODE]],DB_TBL_CONFIG_FIELDSTATUSCODES[#All],4,FALSE),"")</f>
        <v xml:space="preserve"> </v>
      </c>
      <c r="Q40" s="1" t="b">
        <f>TRUE</f>
        <v>1</v>
      </c>
      <c r="R40" s="1" t="b">
        <v>0</v>
      </c>
      <c r="T40" s="1">
        <f ca="1">IF(DB_TBL_DATA_FIELDS[[#This Row],[RANGE_VALIDATION_FLAG]]="Text",LEN(DB_TBL_DATA_FIELDS[[#This Row],[FIELD_VALUE_RAW]]),IFERROR(VALUE(DB_TBL_DATA_FIELDS[[#This Row],[FIELD_VALUE_RAW]]),-1))</f>
        <v>-1</v>
      </c>
      <c r="U40" s="1">
        <v>0</v>
      </c>
      <c r="V40" s="1">
        <v>1</v>
      </c>
      <c r="W40" s="1" t="b">
        <f>IF(NOT(DB_TBL_DATA_FIELDS[[#This Row],[RANGE_VALIDATION_ON_FLAG]]),TRUE,
AND(DB_TBL_DATA_FIELDS[[#This Row],[RANGE_VALUE_LEN]]&gt;=DB_TBL_DATA_FIELDS[[#This Row],[RANGE_VALIDATION_MIN]],DB_TBL_DATA_FIELDS[[#This Row],[RANGE_VALUE_LEN]]&lt;=DB_TBL_DATA_FIELDS[[#This Row],[RANGE_VALIDATION_MAX]]))</f>
        <v>1</v>
      </c>
      <c r="X40" s="1">
        <v>0</v>
      </c>
      <c r="Y40" s="1" t="str">
        <f ca="1">IF(DB_TBL_DATA_FIELDS[[#This Row],[PCT_CALC_SHOW_STATUS_CODE]]=1,
DB_TBL_DATA_FIELDS[[#This Row],[FIELD_STATUS_CODE]],
IF(AND(DB_TBL_DATA_FIELDS[[#This Row],[PCT_CALC_SHOW_STATUS_CODE]]=2,DB_TBL_DATA_FIELDS[[#This Row],[FIELD_STATUS_CODE]]=0),
DB_TBL_DATA_FIELDS[[#This Row],[FIELD_STATUS_CODE]],
"")
)</f>
        <v/>
      </c>
      <c r="AB40" s="2" t="s">
        <v>2491</v>
      </c>
      <c r="AC40" s="1" t="s">
        <v>2492</v>
      </c>
    </row>
    <row r="41" spans="1:29" x14ac:dyDescent="0.3">
      <c r="A41" s="1" t="s">
        <v>2226</v>
      </c>
      <c r="B41" s="171"/>
      <c r="C41" s="1" t="str">
        <f>IF($H$9&lt;&gt;"I",IF(DB_TBL_DATA_FIELDS[[#This Row],[SHEET_REF_WISH]]&lt;&gt;"",DB_TBL_DATA_FIELDS[[#This Row],[SHEET_REF_WISH]],""),IF(DB_TBL_DATA_FIELDS[[#This Row],[SHEET_REF_IDEA]]&lt;&gt;"",DB_TBL_DATA_FIELDS[[#This Row],[SHEET_REF_IDEA]],""))</f>
        <v>WISH</v>
      </c>
      <c r="D41" s="1" t="s">
        <v>2477</v>
      </c>
      <c r="E41" s="1" t="b">
        <v>0</v>
      </c>
      <c r="F41" s="11" t="b">
        <v>0</v>
      </c>
      <c r="G41" s="2" t="s">
        <v>2506</v>
      </c>
      <c r="H41" s="2" t="str">
        <f ca="1">IFERROR(VLOOKUP(DB_TBL_DATA_FIELDS[[#This Row],[FIELD_ID]],INDIRECT(DB_TBL_DATA_FIELDS[[#This Row],[SHEET_REF_CALC]]&amp;"!A:B"),2,FALSE),"")</f>
        <v/>
      </c>
      <c r="J41" s="2" t="b">
        <f ca="1">(DB_TBL_DATA_FIELDS[[#This Row],[FIELD_VALUE_RAW]]="")</f>
        <v>1</v>
      </c>
      <c r="K41" s="2" t="s">
        <v>144</v>
      </c>
      <c r="L41" s="1" t="b">
        <f>AND(IF(DB_TBL_DATA_FIELDS[[#This Row],[FIELD_VALID_CUSTOM_LOGIC]]="",TRUE,DB_TBL_DATA_FIELDS[[#This Row],[FIELD_VALID_CUSTOM_LOGIC]]),DB_TBL_DATA_FIELDS[[#This Row],[RANGE_VALIDATION_PASSED_FLAG]])</f>
        <v>1</v>
      </c>
      <c r="M41"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41" s="1">
        <f ca="1">IF(DB_TBL_DATA_FIELDS[[#This Row],[SHEET_REF_CALC]]="","",IF(DB_TBL_DATA_FIELDS[[#This Row],[FIELD_EMPTY_FLAG]],IF(NOT(DB_TBL_DATA_FIELDS[[#This Row],[FIELD_REQ_FLAG]]),-1,1),IF(NOT(DB_TBL_DATA_FIELDS[[#This Row],[FIELD_VALID_FLAG]]),0,2)))</f>
        <v>-1</v>
      </c>
      <c r="O41" s="1" t="str">
        <f ca="1">IFERROR(VLOOKUP(DB_TBL_DATA_FIELDS[[#This Row],[FIELD_STATUS_CODE]],DB_TBL_CONFIG_FIELDSTATUSCODES[#All],3,FALSE),"")</f>
        <v>Optional</v>
      </c>
      <c r="P41" s="1" t="str">
        <f ca="1">IFERROR(VLOOKUP(DB_TBL_DATA_FIELDS[[#This Row],[FIELD_STATUS_CODE]],DB_TBL_CONFIG_FIELDSTATUSCODES[#All],4,FALSE),"")</f>
        <v xml:space="preserve"> </v>
      </c>
      <c r="Q41" s="1" t="b">
        <f>TRUE</f>
        <v>1</v>
      </c>
      <c r="R41" s="1" t="b">
        <v>0</v>
      </c>
      <c r="T41" s="1">
        <f ca="1">IF(DB_TBL_DATA_FIELDS[[#This Row],[RANGE_VALIDATION_FLAG]]="Text",LEN(DB_TBL_DATA_FIELDS[[#This Row],[FIELD_VALUE_RAW]]),IFERROR(VALUE(DB_TBL_DATA_FIELDS[[#This Row],[FIELD_VALUE_RAW]]),-1))</f>
        <v>-1</v>
      </c>
      <c r="U41" s="1">
        <v>0</v>
      </c>
      <c r="V41" s="1">
        <v>1</v>
      </c>
      <c r="W41" s="1" t="b">
        <f>IF(NOT(DB_TBL_DATA_FIELDS[[#This Row],[RANGE_VALIDATION_ON_FLAG]]),TRUE,
AND(DB_TBL_DATA_FIELDS[[#This Row],[RANGE_VALUE_LEN]]&gt;=DB_TBL_DATA_FIELDS[[#This Row],[RANGE_VALIDATION_MIN]],DB_TBL_DATA_FIELDS[[#This Row],[RANGE_VALUE_LEN]]&lt;=DB_TBL_DATA_FIELDS[[#This Row],[RANGE_VALIDATION_MAX]]))</f>
        <v>1</v>
      </c>
      <c r="X41" s="1">
        <v>0</v>
      </c>
      <c r="Y41" s="1" t="str">
        <f ca="1">IF(DB_TBL_DATA_FIELDS[[#This Row],[PCT_CALC_SHOW_STATUS_CODE]]=1,
DB_TBL_DATA_FIELDS[[#This Row],[FIELD_STATUS_CODE]],
IF(AND(DB_TBL_DATA_FIELDS[[#This Row],[PCT_CALC_SHOW_STATUS_CODE]]=2,DB_TBL_DATA_FIELDS[[#This Row],[FIELD_STATUS_CODE]]=0),
DB_TBL_DATA_FIELDS[[#This Row],[FIELD_STATUS_CODE]],
"")
)</f>
        <v/>
      </c>
      <c r="AB41" s="2" t="s">
        <v>2491</v>
      </c>
      <c r="AC41" s="1" t="s">
        <v>2492</v>
      </c>
    </row>
    <row r="42" spans="1:29" x14ac:dyDescent="0.3">
      <c r="A42" s="1" t="s">
        <v>2226</v>
      </c>
      <c r="B42" s="171"/>
      <c r="C42" s="1" t="str">
        <f>IF($H$9&lt;&gt;"I",IF(DB_TBL_DATA_FIELDS[[#This Row],[SHEET_REF_WISH]]&lt;&gt;"",DB_TBL_DATA_FIELDS[[#This Row],[SHEET_REF_WISH]],""),IF(DB_TBL_DATA_FIELDS[[#This Row],[SHEET_REF_IDEA]]&lt;&gt;"",DB_TBL_DATA_FIELDS[[#This Row],[SHEET_REF_IDEA]],""))</f>
        <v>WISH</v>
      </c>
      <c r="D42" s="1" t="s">
        <v>2478</v>
      </c>
      <c r="E42" s="1" t="b">
        <v>0</v>
      </c>
      <c r="F42" s="11" t="b">
        <v>0</v>
      </c>
      <c r="G42" s="2" t="s">
        <v>2507</v>
      </c>
      <c r="H42" s="2" t="str">
        <f ca="1">IFERROR(VLOOKUP(DB_TBL_DATA_FIELDS[[#This Row],[FIELD_ID]],INDIRECT(DB_TBL_DATA_FIELDS[[#This Row],[SHEET_REF_CALC]]&amp;"!A:B"),2,FALSE),"")</f>
        <v/>
      </c>
      <c r="J42" s="2" t="b">
        <f ca="1">(DB_TBL_DATA_FIELDS[[#This Row],[FIELD_VALUE_RAW]]="")</f>
        <v>1</v>
      </c>
      <c r="K42" s="2" t="s">
        <v>144</v>
      </c>
      <c r="L42" s="1" t="b">
        <f>AND(IF(DB_TBL_DATA_FIELDS[[#This Row],[FIELD_VALID_CUSTOM_LOGIC]]="",TRUE,DB_TBL_DATA_FIELDS[[#This Row],[FIELD_VALID_CUSTOM_LOGIC]]),DB_TBL_DATA_FIELDS[[#This Row],[RANGE_VALIDATION_PASSED_FLAG]])</f>
        <v>1</v>
      </c>
      <c r="M42"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42" s="1">
        <f ca="1">IF(DB_TBL_DATA_FIELDS[[#This Row],[SHEET_REF_CALC]]="","",IF(DB_TBL_DATA_FIELDS[[#This Row],[FIELD_EMPTY_FLAG]],IF(NOT(DB_TBL_DATA_FIELDS[[#This Row],[FIELD_REQ_FLAG]]),-1,1),IF(NOT(DB_TBL_DATA_FIELDS[[#This Row],[FIELD_VALID_FLAG]]),0,2)))</f>
        <v>-1</v>
      </c>
      <c r="O42" s="1" t="str">
        <f ca="1">IFERROR(VLOOKUP(DB_TBL_DATA_FIELDS[[#This Row],[FIELD_STATUS_CODE]],DB_TBL_CONFIG_FIELDSTATUSCODES[#All],3,FALSE),"")</f>
        <v>Optional</v>
      </c>
      <c r="P42" s="1" t="str">
        <f ca="1">IFERROR(VLOOKUP(DB_TBL_DATA_FIELDS[[#This Row],[FIELD_STATUS_CODE]],DB_TBL_CONFIG_FIELDSTATUSCODES[#All],4,FALSE),"")</f>
        <v xml:space="preserve"> </v>
      </c>
      <c r="Q42" s="1" t="b">
        <f>TRUE</f>
        <v>1</v>
      </c>
      <c r="R42" s="1" t="b">
        <v>0</v>
      </c>
      <c r="T42" s="1">
        <f ca="1">IF(DB_TBL_DATA_FIELDS[[#This Row],[RANGE_VALIDATION_FLAG]]="Text",LEN(DB_TBL_DATA_FIELDS[[#This Row],[FIELD_VALUE_RAW]]),IFERROR(VALUE(DB_TBL_DATA_FIELDS[[#This Row],[FIELD_VALUE_RAW]]),-1))</f>
        <v>-1</v>
      </c>
      <c r="U42" s="1">
        <v>0</v>
      </c>
      <c r="V42" s="1">
        <v>1</v>
      </c>
      <c r="W42" s="1" t="b">
        <f>IF(NOT(DB_TBL_DATA_FIELDS[[#This Row],[RANGE_VALIDATION_ON_FLAG]]),TRUE,
AND(DB_TBL_DATA_FIELDS[[#This Row],[RANGE_VALUE_LEN]]&gt;=DB_TBL_DATA_FIELDS[[#This Row],[RANGE_VALIDATION_MIN]],DB_TBL_DATA_FIELDS[[#This Row],[RANGE_VALUE_LEN]]&lt;=DB_TBL_DATA_FIELDS[[#This Row],[RANGE_VALIDATION_MAX]]))</f>
        <v>1</v>
      </c>
      <c r="X42" s="1">
        <v>0</v>
      </c>
      <c r="Y42" s="1" t="str">
        <f ca="1">IF(DB_TBL_DATA_FIELDS[[#This Row],[PCT_CALC_SHOW_STATUS_CODE]]=1,
DB_TBL_DATA_FIELDS[[#This Row],[FIELD_STATUS_CODE]],
IF(AND(DB_TBL_DATA_FIELDS[[#This Row],[PCT_CALC_SHOW_STATUS_CODE]]=2,DB_TBL_DATA_FIELDS[[#This Row],[FIELD_STATUS_CODE]]=0),
DB_TBL_DATA_FIELDS[[#This Row],[FIELD_STATUS_CODE]],
"")
)</f>
        <v/>
      </c>
      <c r="AB42" s="2" t="s">
        <v>2491</v>
      </c>
      <c r="AC42" s="1" t="s">
        <v>2492</v>
      </c>
    </row>
    <row r="43" spans="1:29" x14ac:dyDescent="0.3">
      <c r="A43" s="1" t="s">
        <v>2226</v>
      </c>
      <c r="B43" s="171"/>
      <c r="C43" s="1" t="str">
        <f>IF($H$9&lt;&gt;"I",IF(DB_TBL_DATA_FIELDS[[#This Row],[SHEET_REF_WISH]]&lt;&gt;"",DB_TBL_DATA_FIELDS[[#This Row],[SHEET_REF_WISH]],""),IF(DB_TBL_DATA_FIELDS[[#This Row],[SHEET_REF_IDEA]]&lt;&gt;"",DB_TBL_DATA_FIELDS[[#This Row],[SHEET_REF_IDEA]],""))</f>
        <v>WISH</v>
      </c>
      <c r="D43" s="1" t="s">
        <v>2479</v>
      </c>
      <c r="E43" s="1" t="b">
        <v>0</v>
      </c>
      <c r="F43" s="11" t="b">
        <v>0</v>
      </c>
      <c r="G43" s="2" t="s">
        <v>2508</v>
      </c>
      <c r="H43" s="2" t="str">
        <f ca="1">IFERROR(VLOOKUP(DB_TBL_DATA_FIELDS[[#This Row],[FIELD_ID]],INDIRECT(DB_TBL_DATA_FIELDS[[#This Row],[SHEET_REF_CALC]]&amp;"!A:B"),2,FALSE),"")</f>
        <v/>
      </c>
      <c r="J43" s="2" t="b">
        <f ca="1">(DB_TBL_DATA_FIELDS[[#This Row],[FIELD_VALUE_RAW]]="")</f>
        <v>1</v>
      </c>
      <c r="K43" s="2" t="s">
        <v>144</v>
      </c>
      <c r="L43" s="1" t="b">
        <f>AND(IF(DB_TBL_DATA_FIELDS[[#This Row],[FIELD_VALID_CUSTOM_LOGIC]]="",TRUE,DB_TBL_DATA_FIELDS[[#This Row],[FIELD_VALID_CUSTOM_LOGIC]]),DB_TBL_DATA_FIELDS[[#This Row],[RANGE_VALIDATION_PASSED_FLAG]])</f>
        <v>1</v>
      </c>
      <c r="M43"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43" s="1">
        <f ca="1">IF(DB_TBL_DATA_FIELDS[[#This Row],[SHEET_REF_CALC]]="","",IF(DB_TBL_DATA_FIELDS[[#This Row],[FIELD_EMPTY_FLAG]],IF(NOT(DB_TBL_DATA_FIELDS[[#This Row],[FIELD_REQ_FLAG]]),-1,1),IF(NOT(DB_TBL_DATA_FIELDS[[#This Row],[FIELD_VALID_FLAG]]),0,2)))</f>
        <v>-1</v>
      </c>
      <c r="O43" s="1" t="str">
        <f ca="1">IFERROR(VLOOKUP(DB_TBL_DATA_FIELDS[[#This Row],[FIELD_STATUS_CODE]],DB_TBL_CONFIG_FIELDSTATUSCODES[#All],3,FALSE),"")</f>
        <v>Optional</v>
      </c>
      <c r="P43" s="1" t="str">
        <f ca="1">IFERROR(VLOOKUP(DB_TBL_DATA_FIELDS[[#This Row],[FIELD_STATUS_CODE]],DB_TBL_CONFIG_FIELDSTATUSCODES[#All],4,FALSE),"")</f>
        <v xml:space="preserve"> </v>
      </c>
      <c r="Q43" s="1" t="b">
        <f>TRUE</f>
        <v>1</v>
      </c>
      <c r="R43" s="1" t="b">
        <v>0</v>
      </c>
      <c r="T43" s="1">
        <f ca="1">IF(DB_TBL_DATA_FIELDS[[#This Row],[RANGE_VALIDATION_FLAG]]="Text",LEN(DB_TBL_DATA_FIELDS[[#This Row],[FIELD_VALUE_RAW]]),IFERROR(VALUE(DB_TBL_DATA_FIELDS[[#This Row],[FIELD_VALUE_RAW]]),-1))</f>
        <v>-1</v>
      </c>
      <c r="U43" s="1">
        <v>0</v>
      </c>
      <c r="V43" s="1">
        <v>1</v>
      </c>
      <c r="W43" s="1" t="b">
        <f>IF(NOT(DB_TBL_DATA_FIELDS[[#This Row],[RANGE_VALIDATION_ON_FLAG]]),TRUE,
AND(DB_TBL_DATA_FIELDS[[#This Row],[RANGE_VALUE_LEN]]&gt;=DB_TBL_DATA_FIELDS[[#This Row],[RANGE_VALIDATION_MIN]],DB_TBL_DATA_FIELDS[[#This Row],[RANGE_VALUE_LEN]]&lt;=DB_TBL_DATA_FIELDS[[#This Row],[RANGE_VALIDATION_MAX]]))</f>
        <v>1</v>
      </c>
      <c r="X43" s="1">
        <v>0</v>
      </c>
      <c r="Y43" s="1" t="str">
        <f ca="1">IF(DB_TBL_DATA_FIELDS[[#This Row],[PCT_CALC_SHOW_STATUS_CODE]]=1,
DB_TBL_DATA_FIELDS[[#This Row],[FIELD_STATUS_CODE]],
IF(AND(DB_TBL_DATA_FIELDS[[#This Row],[PCT_CALC_SHOW_STATUS_CODE]]=2,DB_TBL_DATA_FIELDS[[#This Row],[FIELD_STATUS_CODE]]=0),
DB_TBL_DATA_FIELDS[[#This Row],[FIELD_STATUS_CODE]],
"")
)</f>
        <v/>
      </c>
      <c r="AB43" s="2" t="s">
        <v>2491</v>
      </c>
      <c r="AC43" s="1" t="s">
        <v>2492</v>
      </c>
    </row>
    <row r="44" spans="1:29" x14ac:dyDescent="0.3">
      <c r="A44" s="1" t="s">
        <v>2226</v>
      </c>
      <c r="B44" s="171"/>
      <c r="C44" s="1" t="str">
        <f>IF($H$9&lt;&gt;"I",IF(DB_TBL_DATA_FIELDS[[#This Row],[SHEET_REF_WISH]]&lt;&gt;"",DB_TBL_DATA_FIELDS[[#This Row],[SHEET_REF_WISH]],""),IF(DB_TBL_DATA_FIELDS[[#This Row],[SHEET_REF_IDEA]]&lt;&gt;"",DB_TBL_DATA_FIELDS[[#This Row],[SHEET_REF_IDEA]],""))</f>
        <v>WISH</v>
      </c>
      <c r="D44" s="1" t="s">
        <v>2480</v>
      </c>
      <c r="E44" s="1" t="b">
        <v>0</v>
      </c>
      <c r="F44" s="11" t="b">
        <v>0</v>
      </c>
      <c r="G44" s="2" t="s">
        <v>2509</v>
      </c>
      <c r="H44" s="2" t="str">
        <f ca="1">IFERROR(VLOOKUP(DB_TBL_DATA_FIELDS[[#This Row],[FIELD_ID]],INDIRECT(DB_TBL_DATA_FIELDS[[#This Row],[SHEET_REF_CALC]]&amp;"!A:B"),2,FALSE),"")</f>
        <v/>
      </c>
      <c r="J44" s="2" t="b">
        <f ca="1">(DB_TBL_DATA_FIELDS[[#This Row],[FIELD_VALUE_RAW]]="")</f>
        <v>1</v>
      </c>
      <c r="K44" s="2" t="s">
        <v>144</v>
      </c>
      <c r="L44" s="1" t="b">
        <f>AND(IF(DB_TBL_DATA_FIELDS[[#This Row],[FIELD_VALID_CUSTOM_LOGIC]]="",TRUE,DB_TBL_DATA_FIELDS[[#This Row],[FIELD_VALID_CUSTOM_LOGIC]]),DB_TBL_DATA_FIELDS[[#This Row],[RANGE_VALIDATION_PASSED_FLAG]])</f>
        <v>1</v>
      </c>
      <c r="M44"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44" s="1">
        <f ca="1">IF(DB_TBL_DATA_FIELDS[[#This Row],[SHEET_REF_CALC]]="","",IF(DB_TBL_DATA_FIELDS[[#This Row],[FIELD_EMPTY_FLAG]],IF(NOT(DB_TBL_DATA_FIELDS[[#This Row],[FIELD_REQ_FLAG]]),-1,1),IF(NOT(DB_TBL_DATA_FIELDS[[#This Row],[FIELD_VALID_FLAG]]),0,2)))</f>
        <v>-1</v>
      </c>
      <c r="O44" s="1" t="str">
        <f ca="1">IFERROR(VLOOKUP(DB_TBL_DATA_FIELDS[[#This Row],[FIELD_STATUS_CODE]],DB_TBL_CONFIG_FIELDSTATUSCODES[#All],3,FALSE),"")</f>
        <v>Optional</v>
      </c>
      <c r="P44" s="1" t="str">
        <f ca="1">IFERROR(VLOOKUP(DB_TBL_DATA_FIELDS[[#This Row],[FIELD_STATUS_CODE]],DB_TBL_CONFIG_FIELDSTATUSCODES[#All],4,FALSE),"")</f>
        <v xml:space="preserve"> </v>
      </c>
      <c r="Q44" s="1" t="b">
        <f>TRUE</f>
        <v>1</v>
      </c>
      <c r="R44" s="1" t="b">
        <v>0</v>
      </c>
      <c r="T44" s="1">
        <f ca="1">IF(DB_TBL_DATA_FIELDS[[#This Row],[RANGE_VALIDATION_FLAG]]="Text",LEN(DB_TBL_DATA_FIELDS[[#This Row],[FIELD_VALUE_RAW]]),IFERROR(VALUE(DB_TBL_DATA_FIELDS[[#This Row],[FIELD_VALUE_RAW]]),-1))</f>
        <v>-1</v>
      </c>
      <c r="U44" s="1">
        <v>0</v>
      </c>
      <c r="V44" s="1">
        <v>1</v>
      </c>
      <c r="W44" s="1" t="b">
        <f>IF(NOT(DB_TBL_DATA_FIELDS[[#This Row],[RANGE_VALIDATION_ON_FLAG]]),TRUE,
AND(DB_TBL_DATA_FIELDS[[#This Row],[RANGE_VALUE_LEN]]&gt;=DB_TBL_DATA_FIELDS[[#This Row],[RANGE_VALIDATION_MIN]],DB_TBL_DATA_FIELDS[[#This Row],[RANGE_VALUE_LEN]]&lt;=DB_TBL_DATA_FIELDS[[#This Row],[RANGE_VALIDATION_MAX]]))</f>
        <v>1</v>
      </c>
      <c r="X44" s="1">
        <v>0</v>
      </c>
      <c r="Y44" s="1" t="str">
        <f ca="1">IF(DB_TBL_DATA_FIELDS[[#This Row],[PCT_CALC_SHOW_STATUS_CODE]]=1,
DB_TBL_DATA_FIELDS[[#This Row],[FIELD_STATUS_CODE]],
IF(AND(DB_TBL_DATA_FIELDS[[#This Row],[PCT_CALC_SHOW_STATUS_CODE]]=2,DB_TBL_DATA_FIELDS[[#This Row],[FIELD_STATUS_CODE]]=0),
DB_TBL_DATA_FIELDS[[#This Row],[FIELD_STATUS_CODE]],
"")
)</f>
        <v/>
      </c>
      <c r="AB44" s="2" t="s">
        <v>2491</v>
      </c>
      <c r="AC44" s="1" t="s">
        <v>2492</v>
      </c>
    </row>
    <row r="45" spans="1:29" x14ac:dyDescent="0.3">
      <c r="A45" s="1" t="s">
        <v>2226</v>
      </c>
      <c r="B45" s="171"/>
      <c r="C45" s="1" t="str">
        <f>IF($H$9&lt;&gt;"I",IF(DB_TBL_DATA_FIELDS[[#This Row],[SHEET_REF_WISH]]&lt;&gt;"",DB_TBL_DATA_FIELDS[[#This Row],[SHEET_REF_WISH]],""),IF(DB_TBL_DATA_FIELDS[[#This Row],[SHEET_REF_IDEA]]&lt;&gt;"",DB_TBL_DATA_FIELDS[[#This Row],[SHEET_REF_IDEA]],""))</f>
        <v>WISH</v>
      </c>
      <c r="D45" s="1" t="s">
        <v>2481</v>
      </c>
      <c r="E45" s="1" t="b">
        <v>0</v>
      </c>
      <c r="F45" s="11" t="b">
        <v>0</v>
      </c>
      <c r="G45" s="2" t="s">
        <v>2510</v>
      </c>
      <c r="H45" s="2" t="str">
        <f ca="1">IFERROR(VLOOKUP(DB_TBL_DATA_FIELDS[[#This Row],[FIELD_ID]],INDIRECT(DB_TBL_DATA_FIELDS[[#This Row],[SHEET_REF_CALC]]&amp;"!A:B"),2,FALSE),"")</f>
        <v/>
      </c>
      <c r="J45" s="2" t="b">
        <f ca="1">(DB_TBL_DATA_FIELDS[[#This Row],[FIELD_VALUE_RAW]]="")</f>
        <v>1</v>
      </c>
      <c r="K45" s="2" t="s">
        <v>144</v>
      </c>
      <c r="L45" s="1" t="b">
        <f>AND(IF(DB_TBL_DATA_FIELDS[[#This Row],[FIELD_VALID_CUSTOM_LOGIC]]="",TRUE,DB_TBL_DATA_FIELDS[[#This Row],[FIELD_VALID_CUSTOM_LOGIC]]),DB_TBL_DATA_FIELDS[[#This Row],[RANGE_VALIDATION_PASSED_FLAG]])</f>
        <v>1</v>
      </c>
      <c r="M45"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45" s="1">
        <f ca="1">IF(DB_TBL_DATA_FIELDS[[#This Row],[SHEET_REF_CALC]]="","",IF(DB_TBL_DATA_FIELDS[[#This Row],[FIELD_EMPTY_FLAG]],IF(NOT(DB_TBL_DATA_FIELDS[[#This Row],[FIELD_REQ_FLAG]]),-1,1),IF(NOT(DB_TBL_DATA_FIELDS[[#This Row],[FIELD_VALID_FLAG]]),0,2)))</f>
        <v>-1</v>
      </c>
      <c r="O45" s="1" t="str">
        <f ca="1">IFERROR(VLOOKUP(DB_TBL_DATA_FIELDS[[#This Row],[FIELD_STATUS_CODE]],DB_TBL_CONFIG_FIELDSTATUSCODES[#All],3,FALSE),"")</f>
        <v>Optional</v>
      </c>
      <c r="P45" s="1" t="str">
        <f ca="1">IFERROR(VLOOKUP(DB_TBL_DATA_FIELDS[[#This Row],[FIELD_STATUS_CODE]],DB_TBL_CONFIG_FIELDSTATUSCODES[#All],4,FALSE),"")</f>
        <v xml:space="preserve"> </v>
      </c>
      <c r="Q45" s="1" t="b">
        <f>TRUE</f>
        <v>1</v>
      </c>
      <c r="R45" s="1" t="b">
        <v>0</v>
      </c>
      <c r="T45" s="1">
        <f ca="1">IF(DB_TBL_DATA_FIELDS[[#This Row],[RANGE_VALIDATION_FLAG]]="Text",LEN(DB_TBL_DATA_FIELDS[[#This Row],[FIELD_VALUE_RAW]]),IFERROR(VALUE(DB_TBL_DATA_FIELDS[[#This Row],[FIELD_VALUE_RAW]]),-1))</f>
        <v>-1</v>
      </c>
      <c r="U45" s="1">
        <v>0</v>
      </c>
      <c r="V45" s="1">
        <v>1</v>
      </c>
      <c r="W45" s="1" t="b">
        <f>IF(NOT(DB_TBL_DATA_FIELDS[[#This Row],[RANGE_VALIDATION_ON_FLAG]]),TRUE,
AND(DB_TBL_DATA_FIELDS[[#This Row],[RANGE_VALUE_LEN]]&gt;=DB_TBL_DATA_FIELDS[[#This Row],[RANGE_VALIDATION_MIN]],DB_TBL_DATA_FIELDS[[#This Row],[RANGE_VALUE_LEN]]&lt;=DB_TBL_DATA_FIELDS[[#This Row],[RANGE_VALIDATION_MAX]]))</f>
        <v>1</v>
      </c>
      <c r="X45" s="1">
        <v>0</v>
      </c>
      <c r="Y45" s="1" t="str">
        <f ca="1">IF(DB_TBL_DATA_FIELDS[[#This Row],[PCT_CALC_SHOW_STATUS_CODE]]=1,
DB_TBL_DATA_FIELDS[[#This Row],[FIELD_STATUS_CODE]],
IF(AND(DB_TBL_DATA_FIELDS[[#This Row],[PCT_CALC_SHOW_STATUS_CODE]]=2,DB_TBL_DATA_FIELDS[[#This Row],[FIELD_STATUS_CODE]]=0),
DB_TBL_DATA_FIELDS[[#This Row],[FIELD_STATUS_CODE]],
"")
)</f>
        <v/>
      </c>
      <c r="AB45" s="2" t="s">
        <v>2491</v>
      </c>
      <c r="AC45" s="1" t="s">
        <v>2492</v>
      </c>
    </row>
    <row r="46" spans="1:29" ht="13.5" thickBot="1" x14ac:dyDescent="0.35">
      <c r="A46" s="30" t="s">
        <v>2226</v>
      </c>
      <c r="B46" s="172"/>
      <c r="C46" s="30" t="str">
        <f>IF($H$9&lt;&gt;"I",IF(DB_TBL_DATA_FIELDS[[#This Row],[SHEET_REF_WISH]]&lt;&gt;"",DB_TBL_DATA_FIELDS[[#This Row],[SHEET_REF_WISH]],""),IF(DB_TBL_DATA_FIELDS[[#This Row],[SHEET_REF_IDEA]]&lt;&gt;"",DB_TBL_DATA_FIELDS[[#This Row],[SHEET_REF_IDEA]],""))</f>
        <v>WISH</v>
      </c>
      <c r="D46" s="30" t="s">
        <v>2482</v>
      </c>
      <c r="E46" s="30" t="b">
        <v>1</v>
      </c>
      <c r="F46" s="11" t="b">
        <v>0</v>
      </c>
      <c r="G46" s="33" t="s">
        <v>2511</v>
      </c>
      <c r="H46" s="34" t="str">
        <f ca="1">IFERROR(MID(
IF(H40,",AIAN","")&amp;
IF(H41,",A","")&amp;
IF(H42,",BAA","")&amp;
IF(H43,",NHOPI","")&amp;
IF(H44,",W","")&amp;
IF(H45,",NA",""),2,2000),"")</f>
        <v/>
      </c>
      <c r="I46" s="34" t="str">
        <f ca="1">IF(DB_TBL_DATA_FIELDS[[#This Row],[FIELD_EMPTY_FLAG]],"",IF(OR(NOT(DB_TBL_DATA_FIELDS[[#This Row],[FIELD_REQ_FLAG]]),AND(H45=TRUE,COUNTIF(H40:H44,"TRUE")&gt;0)),FALSE,TRUE))</f>
        <v/>
      </c>
      <c r="J46" s="33" t="b">
        <f ca="1">(DB_TBL_DATA_FIELDS[[#This Row],[FIELD_VALUE_RAW]]="")</f>
        <v>1</v>
      </c>
      <c r="K46" s="33" t="s">
        <v>11</v>
      </c>
      <c r="L46" s="30" t="b">
        <f ca="1">AND(IF(DB_TBL_DATA_FIELDS[[#This Row],[FIELD_VALID_CUSTOM_LOGIC]]="",TRUE,DB_TBL_DATA_FIELDS[[#This Row],[FIELD_VALID_CUSTOM_LOGIC]]),DB_TBL_DATA_FIELDS[[#This Row],[RANGE_VALIDATION_PASSED_FLAG]])</f>
        <v>1</v>
      </c>
      <c r="M46" s="3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46" s="30">
        <f ca="1">IF(DB_TBL_DATA_FIELDS[[#This Row],[SHEET_REF_CALC]]="","",IF(DB_TBL_DATA_FIELDS[[#This Row],[FIELD_EMPTY_FLAG]],IF(NOT(DB_TBL_DATA_FIELDS[[#This Row],[FIELD_REQ_FLAG]]),-1,1),IF(NOT(DB_TBL_DATA_FIELDS[[#This Row],[FIELD_VALID_FLAG]]),0,2)))</f>
        <v>-1</v>
      </c>
      <c r="O46" s="30" t="str">
        <f ca="1">IFERROR(VLOOKUP(DB_TBL_DATA_FIELDS[[#This Row],[FIELD_STATUS_CODE]],DB_TBL_CONFIG_FIELDSTATUSCODES[#All],3,FALSE),"")</f>
        <v>Optional</v>
      </c>
      <c r="P46" s="30" t="str">
        <f ca="1">IFERROR(VLOOKUP(DB_TBL_DATA_FIELDS[[#This Row],[FIELD_STATUS_CODE]],DB_TBL_CONFIG_FIELDSTATUSCODES[#All],4,FALSE),"")</f>
        <v xml:space="preserve"> </v>
      </c>
      <c r="Q46" s="30" t="b">
        <f>TRUE</f>
        <v>1</v>
      </c>
      <c r="R46" s="30" t="b">
        <f>TRUE</f>
        <v>1</v>
      </c>
      <c r="S46" s="30" t="s">
        <v>11</v>
      </c>
      <c r="T46" s="30">
        <f ca="1">IF(DB_TBL_DATA_FIELDS[[#This Row],[RANGE_VALIDATION_FLAG]]="Text",LEN(DB_TBL_DATA_FIELDS[[#This Row],[FIELD_VALUE_RAW]]),IFERROR(VALUE(DB_TBL_DATA_FIELDS[[#This Row],[FIELD_VALUE_RAW]]),-1))</f>
        <v>0</v>
      </c>
      <c r="U46" s="30">
        <v>0</v>
      </c>
      <c r="V46" s="30">
        <v>100</v>
      </c>
      <c r="W46" s="30" t="b">
        <f ca="1">IF(NOT(DB_TBL_DATA_FIELDS[[#This Row],[RANGE_VALIDATION_ON_FLAG]]),TRUE,
AND(DB_TBL_DATA_FIELDS[[#This Row],[RANGE_VALUE_LEN]]&gt;=DB_TBL_DATA_FIELDS[[#This Row],[RANGE_VALIDATION_MIN]],DB_TBL_DATA_FIELDS[[#This Row],[RANGE_VALUE_LEN]]&lt;=DB_TBL_DATA_FIELDS[[#This Row],[RANGE_VALIDATION_MAX]]))</f>
        <v>1</v>
      </c>
      <c r="X46" s="30">
        <v>0</v>
      </c>
      <c r="Y46" s="30" t="str">
        <f ca="1">IF(DB_TBL_DATA_FIELDS[[#This Row],[PCT_CALC_SHOW_STATUS_CODE]]=1,
DB_TBL_DATA_FIELDS[[#This Row],[FIELD_STATUS_CODE]],
IF(AND(DB_TBL_DATA_FIELDS[[#This Row],[PCT_CALC_SHOW_STATUS_CODE]]=2,DB_TBL_DATA_FIELDS[[#This Row],[FIELD_STATUS_CODE]]=0),
DB_TBL_DATA_FIELDS[[#This Row],[FIELD_STATUS_CODE]],
"")
)</f>
        <v/>
      </c>
      <c r="Z46" s="173" t="str">
        <f ca="1">IF(DB_TBL_DATA_FIELDS[[#This Row],[FIELD_STATUS_CODE]]=0,IF(AND(DB_TBL_DATA_FIELDS[[#This Row],[FIELD_REQ_FLAG]],NOT(DB_TBL_DATA_FIELDS[[#This Row],[FIELD_VALID_CUSTOM_LOGIC]])),
"Invalid Options Selected: other options must not be selected if 'I do not wish to provide this information' is selected",""),"")</f>
        <v/>
      </c>
      <c r="AA46" s="33"/>
      <c r="AB46" s="33" t="s">
        <v>2491</v>
      </c>
      <c r="AC46" s="30" t="s">
        <v>2492</v>
      </c>
    </row>
    <row r="47" spans="1:29" x14ac:dyDescent="0.3">
      <c r="A47" s="1" t="s">
        <v>2226</v>
      </c>
      <c r="B47" s="128" t="s">
        <v>2227</v>
      </c>
      <c r="C47" s="1" t="str">
        <f>IF($H$9&lt;&gt;"I",IF(DB_TBL_DATA_FIELDS[[#This Row],[SHEET_REF_WISH]]&lt;&gt;"",DB_TBL_DATA_FIELDS[[#This Row],[SHEET_REF_WISH]],""),IF(DB_TBL_DATA_FIELDS[[#This Row],[SHEET_REF_IDEA]]&lt;&gt;"",DB_TBL_DATA_FIELDS[[#This Row],[SHEET_REF_IDEA]],""))</f>
        <v>WISH</v>
      </c>
      <c r="D47" s="1" t="s">
        <v>2251</v>
      </c>
      <c r="E47" s="1" t="b">
        <v>1</v>
      </c>
      <c r="F47" s="11" t="b">
        <v>1</v>
      </c>
      <c r="G47" s="2" t="s">
        <v>2252</v>
      </c>
      <c r="H47" s="2" t="str">
        <f ca="1">IFERROR(VLOOKUP(DB_TBL_DATA_FIELDS[[#This Row],[FIELD_ID]],INDIRECT(DB_TBL_DATA_FIELDS[[#This Row],[SHEET_REF_CALC]]&amp;"!A:B"),2,FALSE),"")</f>
        <v/>
      </c>
      <c r="J47" s="2" t="b">
        <f ca="1">(DB_TBL_DATA_FIELDS[[#This Row],[FIELD_VALUE_RAW]]="")</f>
        <v>1</v>
      </c>
      <c r="K47" s="2" t="s">
        <v>42</v>
      </c>
      <c r="L47" s="1" t="b">
        <f ca="1">AND(IF(DB_TBL_DATA_FIELDS[[#This Row],[FIELD_VALID_CUSTOM_LOGIC]]="",TRUE,DB_TBL_DATA_FIELDS[[#This Row],[FIELD_VALID_CUSTOM_LOGIC]]),DB_TBL_DATA_FIELDS[[#This Row],[RANGE_VALIDATION_PASSED_FLAG]])</f>
        <v>0</v>
      </c>
      <c r="M47"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47" s="1">
        <f ca="1">IF(DB_TBL_DATA_FIELDS[[#This Row],[SHEET_REF_CALC]]="","",IF(DB_TBL_DATA_FIELDS[[#This Row],[FIELD_EMPTY_FLAG]],IF(NOT(DB_TBL_DATA_FIELDS[[#This Row],[FIELD_REQ_FLAG]]),-1,1),IF(NOT(DB_TBL_DATA_FIELDS[[#This Row],[FIELD_VALID_FLAG]]),0,2)))</f>
        <v>1</v>
      </c>
      <c r="O47" s="1" t="str">
        <f ca="1">IFERROR(VLOOKUP(DB_TBL_DATA_FIELDS[[#This Row],[FIELD_STATUS_CODE]],DB_TBL_CONFIG_FIELDSTATUSCODES[#All],3,FALSE),"")</f>
        <v>Required</v>
      </c>
      <c r="P47" s="1" t="str">
        <f ca="1">IFERROR(VLOOKUP(DB_TBL_DATA_FIELDS[[#This Row],[FIELD_STATUS_CODE]],DB_TBL_CONFIG_FIELDSTATUSCODES[#All],4,FALSE),"")</f>
        <v>i</v>
      </c>
      <c r="Q47" s="1" t="b">
        <f>TRUE</f>
        <v>1</v>
      </c>
      <c r="R47" s="1" t="b">
        <f>TRUE</f>
        <v>1</v>
      </c>
      <c r="S47" s="1" t="s">
        <v>42</v>
      </c>
      <c r="T47" s="1">
        <f ca="1">IF(DB_TBL_DATA_FIELDS[[#This Row],[RANGE_VALIDATION_FLAG]]="Text",LEN(DB_TBL_DATA_FIELDS[[#This Row],[FIELD_VALUE_RAW]]),IFERROR(VALUE(DB_TBL_DATA_FIELDS[[#This Row],[FIELD_VALUE_RAW]]),-1))</f>
        <v>-1</v>
      </c>
      <c r="U47" s="1">
        <v>0</v>
      </c>
      <c r="V47" s="1">
        <v>999999999999</v>
      </c>
      <c r="W47" s="1" t="b">
        <f ca="1">IF(NOT(DB_TBL_DATA_FIELDS[[#This Row],[RANGE_VALIDATION_ON_FLAG]]),TRUE,
AND(DB_TBL_DATA_FIELDS[[#This Row],[RANGE_VALUE_LEN]]&gt;=DB_TBL_DATA_FIELDS[[#This Row],[RANGE_VALIDATION_MIN]],DB_TBL_DATA_FIELDS[[#This Row],[RANGE_VALUE_LEN]]&lt;=DB_TBL_DATA_FIELDS[[#This Row],[RANGE_VALIDATION_MAX]]))</f>
        <v>0</v>
      </c>
      <c r="X47" s="1">
        <v>1</v>
      </c>
      <c r="Y47" s="1">
        <f ca="1">IF(DB_TBL_DATA_FIELDS[[#This Row],[PCT_CALC_SHOW_STATUS_CODE]]=1,
DB_TBL_DATA_FIELDS[[#This Row],[FIELD_STATUS_CODE]],
IF(AND(DB_TBL_DATA_FIELDS[[#This Row],[PCT_CALC_SHOW_STATUS_CODE]]=2,DB_TBL_DATA_FIELDS[[#This Row],[FIELD_STATUS_CODE]]=0),
DB_TBL_DATA_FIELDS[[#This Row],[FIELD_STATUS_CODE]],
"")
)</f>
        <v>1</v>
      </c>
      <c r="AA47" s="2">
        <v>9</v>
      </c>
      <c r="AB47" s="2" t="s">
        <v>2253</v>
      </c>
    </row>
    <row r="48" spans="1:29" x14ac:dyDescent="0.3">
      <c r="A48" s="128"/>
      <c r="B48" s="128"/>
      <c r="C48" s="128" t="str">
        <f>IF($H$9&lt;&gt;"I",IF(DB_TBL_DATA_FIELDS[[#This Row],[SHEET_REF_WISH]]&lt;&gt;"",DB_TBL_DATA_FIELDS[[#This Row],[SHEET_REF_WISH]],""),IF(DB_TBL_DATA_FIELDS[[#This Row],[SHEET_REF_IDEA]]&lt;&gt;"",DB_TBL_DATA_FIELDS[[#This Row],[SHEET_REF_IDEA]],""))</f>
        <v/>
      </c>
      <c r="D48" s="128" t="s">
        <v>2254</v>
      </c>
      <c r="E48" s="128" t="b">
        <v>1</v>
      </c>
      <c r="F48" s="130" t="b">
        <v>0</v>
      </c>
      <c r="G48" s="129" t="s">
        <v>2255</v>
      </c>
      <c r="H48" s="129" t="str">
        <f>""</f>
        <v/>
      </c>
      <c r="J48" s="2" t="b">
        <f>(DB_TBL_DATA_FIELDS[[#This Row],[FIELD_VALUE_RAW]]="")</f>
        <v>1</v>
      </c>
      <c r="K48" s="2" t="s">
        <v>36</v>
      </c>
      <c r="L48" s="1" t="b">
        <f>AND(IF(DB_TBL_DATA_FIELDS[[#This Row],[FIELD_VALID_CUSTOM_LOGIC]]="",TRUE,DB_TBL_DATA_FIELDS[[#This Row],[FIELD_VALID_CUSTOM_LOGIC]]),DB_TBL_DATA_FIELDS[[#This Row],[RANGE_VALIDATION_PASSED_FLAG]])</f>
        <v>1</v>
      </c>
      <c r="M48" s="2" t="str">
        <f>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48" s="1" t="str">
        <f>IF(DB_TBL_DATA_FIELDS[[#This Row],[SHEET_REF_CALC]]="","",IF(DB_TBL_DATA_FIELDS[[#This Row],[FIELD_EMPTY_FLAG]],IF(NOT(DB_TBL_DATA_FIELDS[[#This Row],[FIELD_REQ_FLAG]]),-1,1),IF(NOT(DB_TBL_DATA_FIELDS[[#This Row],[FIELD_VALID_FLAG]]),0,2)))</f>
        <v/>
      </c>
      <c r="O48" s="1" t="str">
        <f>IFERROR(VLOOKUP(DB_TBL_DATA_FIELDS[[#This Row],[FIELD_STATUS_CODE]],DB_TBL_CONFIG_FIELDSTATUSCODES[#All],3,FALSE),"")</f>
        <v/>
      </c>
      <c r="P48" s="1" t="str">
        <f>IFERROR(VLOOKUP(DB_TBL_DATA_FIELDS[[#This Row],[FIELD_STATUS_CODE]],DB_TBL_CONFIG_FIELDSTATUSCODES[#All],4,FALSE),"")</f>
        <v/>
      </c>
      <c r="Q48" s="1" t="b">
        <f>TRUE</f>
        <v>1</v>
      </c>
      <c r="R48" s="1" t="b">
        <f>TRUE</f>
        <v>1</v>
      </c>
      <c r="S48" s="1" t="s">
        <v>11</v>
      </c>
      <c r="T48" s="1">
        <f>IF(DB_TBL_DATA_FIELDS[[#This Row],[RANGE_VALIDATION_FLAG]]="Text",LEN(DB_TBL_DATA_FIELDS[[#This Row],[FIELD_VALUE_RAW]]),IFERROR(VALUE(DB_TBL_DATA_FIELDS[[#This Row],[FIELD_VALUE_RAW]]),-1))</f>
        <v>0</v>
      </c>
      <c r="U48" s="1">
        <v>0</v>
      </c>
      <c r="V48" s="1">
        <v>32767</v>
      </c>
      <c r="W48" s="1" t="b">
        <f>IF(NOT(DB_TBL_DATA_FIELDS[[#This Row],[RANGE_VALIDATION_ON_FLAG]]),TRUE,
AND(DB_TBL_DATA_FIELDS[[#This Row],[RANGE_VALUE_LEN]]&gt;=DB_TBL_DATA_FIELDS[[#This Row],[RANGE_VALIDATION_MIN]],DB_TBL_DATA_FIELDS[[#This Row],[RANGE_VALUE_LEN]]&lt;=DB_TBL_DATA_FIELDS[[#This Row],[RANGE_VALIDATION_MAX]]))</f>
        <v>1</v>
      </c>
      <c r="X48" s="1">
        <v>1</v>
      </c>
      <c r="Y48" s="1" t="str">
        <f>IF(DB_TBL_DATA_FIELDS[[#This Row],[PCT_CALC_SHOW_STATUS_CODE]]=1,
DB_TBL_DATA_FIELDS[[#This Row],[FIELD_STATUS_CODE]],
IF(AND(DB_TBL_DATA_FIELDS[[#This Row],[PCT_CALC_SHOW_STATUS_CODE]]=2,DB_TBL_DATA_FIELDS[[#This Row],[FIELD_STATUS_CODE]]=0),
DB_TBL_DATA_FIELDS[[#This Row],[FIELD_STATUS_CODE]],
"")
)</f>
        <v/>
      </c>
      <c r="AA48" s="2">
        <v>10</v>
      </c>
      <c r="AB48" s="2" t="s">
        <v>2253</v>
      </c>
    </row>
    <row r="49" spans="1:29" x14ac:dyDescent="0.3">
      <c r="A49" s="1" t="s">
        <v>2226</v>
      </c>
      <c r="B49" s="128" t="s">
        <v>2227</v>
      </c>
      <c r="C49" s="1" t="str">
        <f>IF($H$9&lt;&gt;"I",IF(DB_TBL_DATA_FIELDS[[#This Row],[SHEET_REF_WISH]]&lt;&gt;"",DB_TBL_DATA_FIELDS[[#This Row],[SHEET_REF_WISH]],""),IF(DB_TBL_DATA_FIELDS[[#This Row],[SHEET_REF_IDEA]]&lt;&gt;"",DB_TBL_DATA_FIELDS[[#This Row],[SHEET_REF_IDEA]],""))</f>
        <v>WISH</v>
      </c>
      <c r="D49" s="1" t="s">
        <v>2260</v>
      </c>
      <c r="E49" s="1" t="b">
        <v>0</v>
      </c>
      <c r="F49" s="11" t="b">
        <v>0</v>
      </c>
      <c r="G49" s="2" t="s">
        <v>2261</v>
      </c>
      <c r="H49" s="14" t="str">
        <f ca="1">IF(AND(DATA_HOUSEHOLD_INCOME&lt;&gt;"",DATA_HOUSEHOLD_INCOME&gt;0,DATA_HUD_AMI_LIMIT&lt;&gt;"",DATA_HUD_AMI_LIMIT&gt;0),
ROUND(DATA_HOUSEHOLD_INCOME/DATA_HUD_AMI_LIMIT,4),
"")</f>
        <v/>
      </c>
      <c r="I49" s="14" t="str">
        <f ca="1">IF(DB_TBL_DATA_FIELDS[[#This Row],[FIELD_EMPTY_FLAG]],"",(DB_TBL_DATA_FIELDS[[#This Row],[FIELD_VALUE_RAW]]&lt;=CONFIG_INCOME_TO_AMI_LIMIT))</f>
        <v/>
      </c>
      <c r="J49" s="2" t="b">
        <f ca="1">(DB_TBL_DATA_FIELDS[[#This Row],[FIELD_VALUE_RAW]]="")</f>
        <v>1</v>
      </c>
      <c r="K49" s="2" t="s">
        <v>42</v>
      </c>
      <c r="L49" s="1" t="b">
        <f ca="1">AND(IF(DB_TBL_DATA_FIELDS[[#This Row],[FIELD_VALID_CUSTOM_LOGIC]]="",TRUE,DB_TBL_DATA_FIELDS[[#This Row],[FIELD_VALID_CUSTOM_LOGIC]]),DB_TBL_DATA_FIELDS[[#This Row],[RANGE_VALIDATION_PASSED_FLAG]])</f>
        <v>0</v>
      </c>
      <c r="M49"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49" s="1">
        <f ca="1">IF(DB_TBL_DATA_FIELDS[[#This Row],[SHEET_REF_CALC]]="","",IF(DB_TBL_DATA_FIELDS[[#This Row],[FIELD_EMPTY_FLAG]],IF(NOT(DB_TBL_DATA_FIELDS[[#This Row],[FIELD_REQ_FLAG]]),-1,1),IF(NOT(DB_TBL_DATA_FIELDS[[#This Row],[FIELD_VALID_FLAG]]),0,2)))</f>
        <v>-1</v>
      </c>
      <c r="O49" s="1" t="str">
        <f ca="1">IFERROR(VLOOKUP(DB_TBL_DATA_FIELDS[[#This Row],[FIELD_STATUS_CODE]],DB_TBL_CONFIG_FIELDSTATUSCODES[#All],3,FALSE),"")</f>
        <v>Optional</v>
      </c>
      <c r="P49" s="1" t="str">
        <f ca="1">IFERROR(VLOOKUP(DB_TBL_DATA_FIELDS[[#This Row],[FIELD_STATUS_CODE]],DB_TBL_CONFIG_FIELDSTATUSCODES[#All],4,FALSE),"")</f>
        <v xml:space="preserve"> </v>
      </c>
      <c r="Q49" s="1" t="b">
        <f>TRUE</f>
        <v>1</v>
      </c>
      <c r="R49" s="1" t="b">
        <f>TRUE</f>
        <v>1</v>
      </c>
      <c r="S49" s="1" t="s">
        <v>42</v>
      </c>
      <c r="T49" s="1">
        <f ca="1">IF(DB_TBL_DATA_FIELDS[[#This Row],[RANGE_VALIDATION_FLAG]]="Text",LEN(DB_TBL_DATA_FIELDS[[#This Row],[FIELD_VALUE_RAW]]),IFERROR(VALUE(DB_TBL_DATA_FIELDS[[#This Row],[FIELD_VALUE_RAW]]),-1))</f>
        <v>-1</v>
      </c>
      <c r="U49" s="35">
        <v>0</v>
      </c>
      <c r="V49" s="35">
        <f>CONFIG_INCOME_TO_AMI_LIMIT</f>
        <v>1.4</v>
      </c>
      <c r="W49" s="1" t="b">
        <f ca="1">IF(NOT(DB_TBL_DATA_FIELDS[[#This Row],[RANGE_VALIDATION_ON_FLAG]]),TRUE,
AND(DB_TBL_DATA_FIELDS[[#This Row],[RANGE_VALUE_LEN]]&gt;=DB_TBL_DATA_FIELDS[[#This Row],[RANGE_VALIDATION_MIN]],DB_TBL_DATA_FIELDS[[#This Row],[RANGE_VALUE_LEN]]&lt;=DB_TBL_DATA_FIELDS[[#This Row],[RANGE_VALIDATION_MAX]]))</f>
        <v>0</v>
      </c>
      <c r="X49" s="1">
        <v>1</v>
      </c>
      <c r="Y49" s="1">
        <f ca="1">IF(DB_TBL_DATA_FIELDS[[#This Row],[PCT_CALC_SHOW_STATUS_CODE]]=1,
DB_TBL_DATA_FIELDS[[#This Row],[FIELD_STATUS_CODE]],
IF(AND(DB_TBL_DATA_FIELDS[[#This Row],[PCT_CALC_SHOW_STATUS_CODE]]=2,DB_TBL_DATA_FIELDS[[#This Row],[FIELD_STATUS_CODE]]=0),
DB_TBL_DATA_FIELDS[[#This Row],[FIELD_STATUS_CODE]],
"")
)</f>
        <v>-1</v>
      </c>
      <c r="Z49" s="36" t="str">
        <f ca="1">IF(DB_TBL_DATA_FIELDS[[#This Row],[FIELD_STATUS_CODE]]=0,IF(NOT(DB_TBL_DATA_FIELDS[[#This Row],[FIELD_VALID_CUSTOM_LOGIC]]),
"Must be "&amp;TEXT(CONFIG_INCOME_TO_AMI_LIMIT,"##.00%")&amp;" or less",""),"")</f>
        <v/>
      </c>
      <c r="AA49" s="2">
        <v>12</v>
      </c>
      <c r="AB49" s="2" t="s">
        <v>2253</v>
      </c>
    </row>
    <row r="50" spans="1:29" x14ac:dyDescent="0.3">
      <c r="A50" s="1" t="s">
        <v>2226</v>
      </c>
      <c r="B50" s="128" t="s">
        <v>2227</v>
      </c>
      <c r="C50" s="1" t="str">
        <f>IF($H$9&lt;&gt;"I",IF(DB_TBL_DATA_FIELDS[[#This Row],[SHEET_REF_WISH]]&lt;&gt;"",DB_TBL_DATA_FIELDS[[#This Row],[SHEET_REF_WISH]],""),IF(DB_TBL_DATA_FIELDS[[#This Row],[SHEET_REF_IDEA]]&lt;&gt;"",DB_TBL_DATA_FIELDS[[#This Row],[SHEET_REF_IDEA]],""))</f>
        <v>WISH</v>
      </c>
      <c r="D50" s="1" t="s">
        <v>2264</v>
      </c>
      <c r="E50" s="1" t="b">
        <v>1</v>
      </c>
      <c r="F50" s="11" t="b">
        <v>1</v>
      </c>
      <c r="G50" s="2" t="s">
        <v>2265</v>
      </c>
      <c r="H50" s="2" t="str">
        <f ca="1">IFERROR(VLOOKUP(DB_TBL_DATA_FIELDS[[#This Row],[FIELD_ID]],INDIRECT(DB_TBL_DATA_FIELDS[[#This Row],[SHEET_REF_CALC]]&amp;"!A:B"),2,FALSE),"")</f>
        <v/>
      </c>
      <c r="J50" s="2" t="b">
        <f ca="1">(DB_TBL_DATA_FIELDS[[#This Row],[FIELD_VALUE_RAW]]="")</f>
        <v>1</v>
      </c>
      <c r="K50" s="2" t="s">
        <v>42</v>
      </c>
      <c r="L50" s="1" t="b">
        <f ca="1">AND(IF(DB_TBL_DATA_FIELDS[[#This Row],[FIELD_VALID_CUSTOM_LOGIC]]="",TRUE,DB_TBL_DATA_FIELDS[[#This Row],[FIELD_VALID_CUSTOM_LOGIC]]),DB_TBL_DATA_FIELDS[[#This Row],[RANGE_VALIDATION_PASSED_FLAG]])</f>
        <v>0</v>
      </c>
      <c r="M50"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50" s="1">
        <f ca="1">IF(DB_TBL_DATA_FIELDS[[#This Row],[SHEET_REF_CALC]]="","",IF(DB_TBL_DATA_FIELDS[[#This Row],[FIELD_EMPTY_FLAG]],IF(NOT(DB_TBL_DATA_FIELDS[[#This Row],[FIELD_REQ_FLAG]]),-1,1),IF(NOT(DB_TBL_DATA_FIELDS[[#This Row],[FIELD_VALID_FLAG]]),0,2)))</f>
        <v>1</v>
      </c>
      <c r="O50" s="1" t="str">
        <f ca="1">IFERROR(VLOOKUP(DB_TBL_DATA_FIELDS[[#This Row],[FIELD_STATUS_CODE]],DB_TBL_CONFIG_FIELDSTATUSCODES[#All],3,FALSE),"")</f>
        <v>Required</v>
      </c>
      <c r="P50" s="1" t="str">
        <f ca="1">IFERROR(VLOOKUP(DB_TBL_DATA_FIELDS[[#This Row],[FIELD_STATUS_CODE]],DB_TBL_CONFIG_FIELDSTATUSCODES[#All],4,FALSE),"")</f>
        <v>i</v>
      </c>
      <c r="Q50" s="1" t="b">
        <f>TRUE</f>
        <v>1</v>
      </c>
      <c r="R50" s="1" t="b">
        <f>TRUE</f>
        <v>1</v>
      </c>
      <c r="S50" s="1" t="s">
        <v>42</v>
      </c>
      <c r="T50" s="1">
        <f ca="1">IF(DB_TBL_DATA_FIELDS[[#This Row],[RANGE_VALIDATION_FLAG]]="Text",LEN(DB_TBL_DATA_FIELDS[[#This Row],[FIELD_VALUE_RAW]]),IFERROR(VALUE(DB_TBL_DATA_FIELDS[[#This Row],[FIELD_VALUE_RAW]]),-1))</f>
        <v>-1</v>
      </c>
      <c r="U50" s="1">
        <v>1900</v>
      </c>
      <c r="V50" s="1">
        <v>9999</v>
      </c>
      <c r="W50" s="1" t="b">
        <f ca="1">IF(NOT(DB_TBL_DATA_FIELDS[[#This Row],[RANGE_VALIDATION_ON_FLAG]]),TRUE,
AND(DB_TBL_DATA_FIELDS[[#This Row],[RANGE_VALUE_LEN]]&gt;=DB_TBL_DATA_FIELDS[[#This Row],[RANGE_VALIDATION_MIN]],DB_TBL_DATA_FIELDS[[#This Row],[RANGE_VALUE_LEN]]&lt;=DB_TBL_DATA_FIELDS[[#This Row],[RANGE_VALIDATION_MAX]]))</f>
        <v>0</v>
      </c>
      <c r="X50" s="1">
        <v>1</v>
      </c>
      <c r="Y50" s="1">
        <f ca="1">IF(DB_TBL_DATA_FIELDS[[#This Row],[PCT_CALC_SHOW_STATUS_CODE]]=1,
DB_TBL_DATA_FIELDS[[#This Row],[FIELD_STATUS_CODE]],
IF(AND(DB_TBL_DATA_FIELDS[[#This Row],[PCT_CALC_SHOW_STATUS_CODE]]=2,DB_TBL_DATA_FIELDS[[#This Row],[FIELD_STATUS_CODE]]=0),
DB_TBL_DATA_FIELDS[[#This Row],[FIELD_STATUS_CODE]],
"")
)</f>
        <v>1</v>
      </c>
      <c r="AA50" s="2">
        <v>13</v>
      </c>
      <c r="AB50" s="2" t="s">
        <v>2253</v>
      </c>
    </row>
    <row r="51" spans="1:29" x14ac:dyDescent="0.3">
      <c r="A51" s="1" t="s">
        <v>2226</v>
      </c>
      <c r="B51" s="128" t="s">
        <v>2227</v>
      </c>
      <c r="C51" s="1" t="str">
        <f>IF($H$9&lt;&gt;"I",IF(DB_TBL_DATA_FIELDS[[#This Row],[SHEET_REF_WISH]]&lt;&gt;"",DB_TBL_DATA_FIELDS[[#This Row],[SHEET_REF_WISH]],""),IF(DB_TBL_DATA_FIELDS[[#This Row],[SHEET_REF_IDEA]]&lt;&gt;"",DB_TBL_DATA_FIELDS[[#This Row],[SHEET_REF_IDEA]],""))</f>
        <v>WISH</v>
      </c>
      <c r="D51" s="164" t="s">
        <v>2457</v>
      </c>
      <c r="E51" s="1" t="b">
        <v>1</v>
      </c>
      <c r="F51" s="165" t="b">
        <v>1</v>
      </c>
      <c r="G51" s="2" t="s">
        <v>2461</v>
      </c>
      <c r="H51" s="166" t="str">
        <f ca="1">IFERROR(VLOOKUP(DB_TBL_DATA_FIELDS[[#This Row],[FIELD_ID]],INDIRECT(DB_TBL_DATA_FIELDS[[#This Row],[SHEET_REF_CALC]]&amp;"!A:B"),2,FALSE),"")</f>
        <v/>
      </c>
      <c r="I51" s="166"/>
      <c r="J51" s="166" t="b">
        <f ca="1">(DB_TBL_DATA_FIELDS[[#This Row],[FIELD_VALUE_RAW]]="")</f>
        <v>1</v>
      </c>
      <c r="K51" s="2" t="s">
        <v>42</v>
      </c>
      <c r="L51" s="164" t="b">
        <f ca="1">AND(IF(DB_TBL_DATA_FIELDS[[#This Row],[FIELD_VALID_CUSTOM_LOGIC]]="",TRUE,DB_TBL_DATA_FIELDS[[#This Row],[FIELD_VALID_CUSTOM_LOGIC]]),DB_TBL_DATA_FIELDS[[#This Row],[RANGE_VALIDATION_PASSED_FLAG]])</f>
        <v>0</v>
      </c>
      <c r="M51" s="16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51" s="164">
        <f ca="1">IF(DB_TBL_DATA_FIELDS[[#This Row],[SHEET_REF_CALC]]="","",IF(DB_TBL_DATA_FIELDS[[#This Row],[FIELD_EMPTY_FLAG]],IF(NOT(DB_TBL_DATA_FIELDS[[#This Row],[FIELD_REQ_FLAG]]),-1,1),IF(NOT(DB_TBL_DATA_FIELDS[[#This Row],[FIELD_VALID_FLAG]]),0,2)))</f>
        <v>1</v>
      </c>
      <c r="O51" s="164" t="str">
        <f ca="1">IFERROR(VLOOKUP(DB_TBL_DATA_FIELDS[[#This Row],[FIELD_STATUS_CODE]],DB_TBL_CONFIG_FIELDSTATUSCODES[#All],3,FALSE),"")</f>
        <v>Required</v>
      </c>
      <c r="P51" s="164" t="str">
        <f ca="1">IFERROR(VLOOKUP(DB_TBL_DATA_FIELDS[[#This Row],[FIELD_STATUS_CODE]],DB_TBL_CONFIG_FIELDSTATUSCODES[#All],4,FALSE),"")</f>
        <v>i</v>
      </c>
      <c r="Q51" s="164" t="b">
        <f>TRUE</f>
        <v>1</v>
      </c>
      <c r="R51" s="164" t="b">
        <f>TRUE</f>
        <v>1</v>
      </c>
      <c r="S51" s="1" t="s">
        <v>42</v>
      </c>
      <c r="T51" s="164">
        <f ca="1">IF(DB_TBL_DATA_FIELDS[[#This Row],[RANGE_VALIDATION_FLAG]]="Text",LEN(DB_TBL_DATA_FIELDS[[#This Row],[FIELD_VALUE_RAW]]),IFERROR(VALUE(DB_TBL_DATA_FIELDS[[#This Row],[FIELD_VALUE_RAW]]),-1))</f>
        <v>-1</v>
      </c>
      <c r="U51" s="1">
        <v>1</v>
      </c>
      <c r="V51" s="1">
        <v>999999999999</v>
      </c>
      <c r="W51" s="164" t="b">
        <f ca="1">IF(NOT(DB_TBL_DATA_FIELDS[[#This Row],[RANGE_VALIDATION_ON_FLAG]]),TRUE,
AND(DB_TBL_DATA_FIELDS[[#This Row],[RANGE_VALUE_LEN]]&gt;=DB_TBL_DATA_FIELDS[[#This Row],[RANGE_VALIDATION_MIN]],DB_TBL_DATA_FIELDS[[#This Row],[RANGE_VALUE_LEN]]&lt;=DB_TBL_DATA_FIELDS[[#This Row],[RANGE_VALIDATION_MAX]]))</f>
        <v>0</v>
      </c>
      <c r="X51" s="164">
        <v>1</v>
      </c>
      <c r="Y51" s="164">
        <f ca="1">IF(DB_TBL_DATA_FIELDS[[#This Row],[PCT_CALC_SHOW_STATUS_CODE]]=1,
DB_TBL_DATA_FIELDS[[#This Row],[FIELD_STATUS_CODE]],
IF(AND(DB_TBL_DATA_FIELDS[[#This Row],[PCT_CALC_SHOW_STATUS_CODE]]=2,DB_TBL_DATA_FIELDS[[#This Row],[FIELD_STATUS_CODE]]=0),
DB_TBL_DATA_FIELDS[[#This Row],[FIELD_STATUS_CODE]],
"")
)</f>
        <v>1</v>
      </c>
      <c r="Z51" s="164"/>
      <c r="AA51" s="166"/>
      <c r="AB51" s="2" t="s">
        <v>2253</v>
      </c>
      <c r="AC51" s="1" t="s">
        <v>2460</v>
      </c>
    </row>
    <row r="52" spans="1:29" x14ac:dyDescent="0.3">
      <c r="A52" s="1" t="s">
        <v>2226</v>
      </c>
      <c r="B52" s="128" t="s">
        <v>2227</v>
      </c>
      <c r="C52" s="1" t="str">
        <f>IF($H$9&lt;&gt;"I",IF(DB_TBL_DATA_FIELDS[[#This Row],[SHEET_REF_WISH]]&lt;&gt;"",DB_TBL_DATA_FIELDS[[#This Row],[SHEET_REF_WISH]],""),IF(DB_TBL_DATA_FIELDS[[#This Row],[SHEET_REF_IDEA]]&lt;&gt;"",DB_TBL_DATA_FIELDS[[#This Row],[SHEET_REF_IDEA]],""))</f>
        <v>WISH</v>
      </c>
      <c r="D52" s="164" t="s">
        <v>2452</v>
      </c>
      <c r="E52" s="1" t="b">
        <v>1</v>
      </c>
      <c r="F52" s="165" t="b">
        <v>1</v>
      </c>
      <c r="G52" s="2" t="s">
        <v>2462</v>
      </c>
      <c r="H52" s="166" t="str">
        <f ca="1">IFERROR(VLOOKUP(DB_TBL_DATA_FIELDS[[#This Row],[FIELD_ID]],INDIRECT(DB_TBL_DATA_FIELDS[[#This Row],[SHEET_REF_CALC]]&amp;"!A:B"),2,FALSE),"")</f>
        <v/>
      </c>
      <c r="I52" s="166"/>
      <c r="J52" s="166" t="b">
        <f ca="1">(DB_TBL_DATA_FIELDS[[#This Row],[FIELD_VALUE_RAW]]="")</f>
        <v>1</v>
      </c>
      <c r="K52" s="2" t="s">
        <v>11</v>
      </c>
      <c r="L52" s="164" t="b">
        <f ca="1">AND(IF(DB_TBL_DATA_FIELDS[[#This Row],[FIELD_VALID_CUSTOM_LOGIC]]="",TRUE,DB_TBL_DATA_FIELDS[[#This Row],[FIELD_VALID_CUSTOM_LOGIC]]),DB_TBL_DATA_FIELDS[[#This Row],[RANGE_VALIDATION_PASSED_FLAG]])</f>
        <v>1</v>
      </c>
      <c r="M52" s="16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52" s="164">
        <f ca="1">IF(DB_TBL_DATA_FIELDS[[#This Row],[SHEET_REF_CALC]]="","",IF(DB_TBL_DATA_FIELDS[[#This Row],[FIELD_EMPTY_FLAG]],IF(NOT(DB_TBL_DATA_FIELDS[[#This Row],[FIELD_REQ_FLAG]]),-1,1),IF(NOT(DB_TBL_DATA_FIELDS[[#This Row],[FIELD_VALID_FLAG]]),0,2)))</f>
        <v>1</v>
      </c>
      <c r="O52" s="164" t="str">
        <f ca="1">IFERROR(VLOOKUP(DB_TBL_DATA_FIELDS[[#This Row],[FIELD_STATUS_CODE]],DB_TBL_CONFIG_FIELDSTATUSCODES[#All],3,FALSE),"")</f>
        <v>Required</v>
      </c>
      <c r="P52" s="164" t="str">
        <f ca="1">IFERROR(VLOOKUP(DB_TBL_DATA_FIELDS[[#This Row],[FIELD_STATUS_CODE]],DB_TBL_CONFIG_FIELDSTATUSCODES[#All],4,FALSE),"")</f>
        <v>i</v>
      </c>
      <c r="Q52" s="164" t="b">
        <f>TRUE</f>
        <v>1</v>
      </c>
      <c r="R52" s="164" t="b">
        <f>TRUE</f>
        <v>1</v>
      </c>
      <c r="S52" s="1" t="s">
        <v>11</v>
      </c>
      <c r="T52" s="164">
        <f ca="1">IF(DB_TBL_DATA_FIELDS[[#This Row],[RANGE_VALIDATION_FLAG]]="Text",LEN(DB_TBL_DATA_FIELDS[[#This Row],[FIELD_VALUE_RAW]]),IFERROR(VALUE(DB_TBL_DATA_FIELDS[[#This Row],[FIELD_VALUE_RAW]]),-1))</f>
        <v>0</v>
      </c>
      <c r="U52" s="164">
        <v>0</v>
      </c>
      <c r="V52" s="164">
        <v>32767</v>
      </c>
      <c r="W52" s="164" t="b">
        <f ca="1">IF(NOT(DB_TBL_DATA_FIELDS[[#This Row],[RANGE_VALIDATION_ON_FLAG]]),TRUE,
AND(DB_TBL_DATA_FIELDS[[#This Row],[RANGE_VALUE_LEN]]&gt;=DB_TBL_DATA_FIELDS[[#This Row],[RANGE_VALIDATION_MIN]],DB_TBL_DATA_FIELDS[[#This Row],[RANGE_VALUE_LEN]]&lt;=DB_TBL_DATA_FIELDS[[#This Row],[RANGE_VALIDATION_MAX]]))</f>
        <v>1</v>
      </c>
      <c r="X52" s="164">
        <v>1</v>
      </c>
      <c r="Y52" s="164">
        <f ca="1">IF(DB_TBL_DATA_FIELDS[[#This Row],[PCT_CALC_SHOW_STATUS_CODE]]=1,
DB_TBL_DATA_FIELDS[[#This Row],[FIELD_STATUS_CODE]],
IF(AND(DB_TBL_DATA_FIELDS[[#This Row],[PCT_CALC_SHOW_STATUS_CODE]]=2,DB_TBL_DATA_FIELDS[[#This Row],[FIELD_STATUS_CODE]]=0),
DB_TBL_DATA_FIELDS[[#This Row],[FIELD_STATUS_CODE]],
"")
)</f>
        <v>1</v>
      </c>
      <c r="Z52" s="164"/>
      <c r="AA52" s="166"/>
      <c r="AB52" s="166" t="s">
        <v>2253</v>
      </c>
      <c r="AC52" s="1" t="s">
        <v>2460</v>
      </c>
    </row>
    <row r="53" spans="1:29" ht="13.5" thickBot="1" x14ac:dyDescent="0.35">
      <c r="A53" s="30" t="s">
        <v>2226</v>
      </c>
      <c r="B53" s="132" t="s">
        <v>2227</v>
      </c>
      <c r="C53" s="30" t="str">
        <f>IF($H$9&lt;&gt;"I",IF(DB_TBL_DATA_FIELDS[[#This Row],[SHEET_REF_WISH]]&lt;&gt;"",DB_TBL_DATA_FIELDS[[#This Row],[SHEET_REF_WISH]],""),IF(DB_TBL_DATA_FIELDS[[#This Row],[SHEET_REF_IDEA]]&lt;&gt;"",DB_TBL_DATA_FIELDS[[#This Row],[SHEET_REF_IDEA]],""))</f>
        <v>WISH</v>
      </c>
      <c r="D53" s="167" t="s">
        <v>2453</v>
      </c>
      <c r="E53" s="30" t="b">
        <v>1</v>
      </c>
      <c r="F53" s="168" t="b">
        <v>1</v>
      </c>
      <c r="G53" s="33" t="s">
        <v>2463</v>
      </c>
      <c r="H53" s="169" t="str">
        <f ca="1">IFERROR(VLOOKUP(DB_TBL_DATA_FIELDS[[#This Row],[FIELD_ID]],INDIRECT(DB_TBL_DATA_FIELDS[[#This Row],[SHEET_REF_CALC]]&amp;"!A:B"),2,FALSE),"")</f>
        <v/>
      </c>
      <c r="I53" s="169"/>
      <c r="J53" s="169" t="b">
        <f ca="1">(DB_TBL_DATA_FIELDS[[#This Row],[FIELD_VALUE_RAW]]="")</f>
        <v>1</v>
      </c>
      <c r="K53" s="33" t="s">
        <v>42</v>
      </c>
      <c r="L53" s="167" t="b">
        <f ca="1">AND(IF(DB_TBL_DATA_FIELDS[[#This Row],[FIELD_VALID_CUSTOM_LOGIC]]="",TRUE,DB_TBL_DATA_FIELDS[[#This Row],[FIELD_VALID_CUSTOM_LOGIC]]),DB_TBL_DATA_FIELDS[[#This Row],[RANGE_VALIDATION_PASSED_FLAG]])</f>
        <v>0</v>
      </c>
      <c r="M53" s="169"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53" s="167">
        <f ca="1">IF(DB_TBL_DATA_FIELDS[[#This Row],[SHEET_REF_CALC]]="","",IF(DB_TBL_DATA_FIELDS[[#This Row],[FIELD_EMPTY_FLAG]],IF(NOT(DB_TBL_DATA_FIELDS[[#This Row],[FIELD_REQ_FLAG]]),-1,1),IF(NOT(DB_TBL_DATA_FIELDS[[#This Row],[FIELD_VALID_FLAG]]),0,2)))</f>
        <v>1</v>
      </c>
      <c r="O53" s="167" t="str">
        <f ca="1">IFERROR(VLOOKUP(DB_TBL_DATA_FIELDS[[#This Row],[FIELD_STATUS_CODE]],DB_TBL_CONFIG_FIELDSTATUSCODES[#All],3,FALSE),"")</f>
        <v>Required</v>
      </c>
      <c r="P53" s="167" t="str">
        <f ca="1">IFERROR(VLOOKUP(DB_TBL_DATA_FIELDS[[#This Row],[FIELD_STATUS_CODE]],DB_TBL_CONFIG_FIELDSTATUSCODES[#All],4,FALSE),"")</f>
        <v>i</v>
      </c>
      <c r="Q53" s="167" t="b">
        <f>TRUE</f>
        <v>1</v>
      </c>
      <c r="R53" s="167" t="b">
        <f>TRUE</f>
        <v>1</v>
      </c>
      <c r="S53" s="30" t="s">
        <v>42</v>
      </c>
      <c r="T53" s="167">
        <f ca="1">IF(DB_TBL_DATA_FIELDS[[#This Row],[RANGE_VALIDATION_FLAG]]="Text",LEN(DB_TBL_DATA_FIELDS[[#This Row],[FIELD_VALUE_RAW]]),IFERROR(VALUE(DB_TBL_DATA_FIELDS[[#This Row],[FIELD_VALUE_RAW]]),-1))</f>
        <v>-1</v>
      </c>
      <c r="U53" s="30">
        <v>1</v>
      </c>
      <c r="V53" s="30">
        <v>999999999999</v>
      </c>
      <c r="W53" s="167" t="b">
        <f ca="1">IF(NOT(DB_TBL_DATA_FIELDS[[#This Row],[RANGE_VALIDATION_ON_FLAG]]),TRUE,
AND(DB_TBL_DATA_FIELDS[[#This Row],[RANGE_VALUE_LEN]]&gt;=DB_TBL_DATA_FIELDS[[#This Row],[RANGE_VALIDATION_MIN]],DB_TBL_DATA_FIELDS[[#This Row],[RANGE_VALUE_LEN]]&lt;=DB_TBL_DATA_FIELDS[[#This Row],[RANGE_VALIDATION_MAX]]))</f>
        <v>0</v>
      </c>
      <c r="X53" s="167">
        <v>1</v>
      </c>
      <c r="Y53" s="167">
        <f ca="1">IF(DB_TBL_DATA_FIELDS[[#This Row],[PCT_CALC_SHOW_STATUS_CODE]]=1,
DB_TBL_DATA_FIELDS[[#This Row],[FIELD_STATUS_CODE]],
IF(AND(DB_TBL_DATA_FIELDS[[#This Row],[PCT_CALC_SHOW_STATUS_CODE]]=2,DB_TBL_DATA_FIELDS[[#This Row],[FIELD_STATUS_CODE]]=0),
DB_TBL_DATA_FIELDS[[#This Row],[FIELD_STATUS_CODE]],
"")
)</f>
        <v>1</v>
      </c>
      <c r="Z53" s="167"/>
      <c r="AA53" s="169"/>
      <c r="AB53" s="169" t="s">
        <v>2253</v>
      </c>
      <c r="AC53" s="167" t="s">
        <v>2460</v>
      </c>
    </row>
    <row r="54" spans="1:29" x14ac:dyDescent="0.3">
      <c r="A54" s="128"/>
      <c r="B54" s="128"/>
      <c r="C54" s="128" t="str">
        <f>IF($H$9&lt;&gt;"I",IF(DB_TBL_DATA_FIELDS[[#This Row],[SHEET_REF_WISH]]&lt;&gt;"",DB_TBL_DATA_FIELDS[[#This Row],[SHEET_REF_WISH]],""),IF(DB_TBL_DATA_FIELDS[[#This Row],[SHEET_REF_IDEA]]&lt;&gt;"",DB_TBL_DATA_FIELDS[[#This Row],[SHEET_REF_IDEA]],""))</f>
        <v/>
      </c>
      <c r="D54" s="128" t="s">
        <v>2267</v>
      </c>
      <c r="E54" s="128" t="b">
        <v>1</v>
      </c>
      <c r="F54" s="130" t="b">
        <v>0</v>
      </c>
      <c r="G54" s="129" t="s">
        <v>2269</v>
      </c>
      <c r="H54" s="129" t="str">
        <f ca="1">IFERROR(VLOOKUP(DB_TBL_DATA_FIELDS[[#This Row],[FIELD_ID]],INDIRECT(DB_TBL_DATA_FIELDS[[#This Row],[SHEET_REF_CALC]]&amp;"!A:B"),2,FALSE),"")</f>
        <v/>
      </c>
      <c r="J54" s="2" t="b">
        <f ca="1">(DB_TBL_DATA_FIELDS[[#This Row],[FIELD_VALUE_RAW]]="")</f>
        <v>1</v>
      </c>
      <c r="K54" s="2" t="s">
        <v>144</v>
      </c>
      <c r="L54" s="1" t="b">
        <f>AND(IF(DB_TBL_DATA_FIELDS[[#This Row],[FIELD_VALID_CUSTOM_LOGIC]]="",TRUE,DB_TBL_DATA_FIELDS[[#This Row],[FIELD_VALID_CUSTOM_LOGIC]]),DB_TBL_DATA_FIELDS[[#This Row],[RANGE_VALIDATION_PASSED_FLAG]])</f>
        <v>1</v>
      </c>
      <c r="M54"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54" s="1" t="str">
        <f>IF(DB_TBL_DATA_FIELDS[[#This Row],[SHEET_REF_CALC]]="","",IF(DB_TBL_DATA_FIELDS[[#This Row],[FIELD_EMPTY_FLAG]],IF(NOT(DB_TBL_DATA_FIELDS[[#This Row],[FIELD_REQ_FLAG]]),-1,1),IF(NOT(DB_TBL_DATA_FIELDS[[#This Row],[FIELD_VALID_FLAG]]),0,2)))</f>
        <v/>
      </c>
      <c r="O54" s="1" t="str">
        <f>IFERROR(VLOOKUP(DB_TBL_DATA_FIELDS[[#This Row],[FIELD_STATUS_CODE]],DB_TBL_CONFIG_FIELDSTATUSCODES[#All],3,FALSE),"")</f>
        <v/>
      </c>
      <c r="P54" s="1" t="str">
        <f>IFERROR(VLOOKUP(DB_TBL_DATA_FIELDS[[#This Row],[FIELD_STATUS_CODE]],DB_TBL_CONFIG_FIELDSTATUSCODES[#All],4,FALSE),"")</f>
        <v/>
      </c>
      <c r="Q54" s="1" t="b">
        <f>TRUE</f>
        <v>1</v>
      </c>
      <c r="R54" s="1" t="b">
        <v>0</v>
      </c>
      <c r="T54" s="1">
        <f ca="1">IF(DB_TBL_DATA_FIELDS[[#This Row],[RANGE_VALIDATION_FLAG]]="Text",LEN(DB_TBL_DATA_FIELDS[[#This Row],[FIELD_VALUE_RAW]]),IFERROR(VALUE(DB_TBL_DATA_FIELDS[[#This Row],[FIELD_VALUE_RAW]]),-1))</f>
        <v>-1</v>
      </c>
      <c r="U54" s="1">
        <v>0</v>
      </c>
      <c r="V54" s="1">
        <v>1</v>
      </c>
      <c r="W54" s="1" t="b">
        <f>IF(NOT(DB_TBL_DATA_FIELDS[[#This Row],[RANGE_VALIDATION_ON_FLAG]]),TRUE,
AND(DB_TBL_DATA_FIELDS[[#This Row],[RANGE_VALUE_LEN]]&gt;=DB_TBL_DATA_FIELDS[[#This Row],[RANGE_VALIDATION_MIN]],DB_TBL_DATA_FIELDS[[#This Row],[RANGE_VALUE_LEN]]&lt;=DB_TBL_DATA_FIELDS[[#This Row],[RANGE_VALIDATION_MAX]]))</f>
        <v>1</v>
      </c>
      <c r="X54" s="1">
        <v>1</v>
      </c>
      <c r="Y54" s="1" t="str">
        <f>IF(DB_TBL_DATA_FIELDS[[#This Row],[PCT_CALC_SHOW_STATUS_CODE]]=1,
DB_TBL_DATA_FIELDS[[#This Row],[FIELD_STATUS_CODE]],
IF(AND(DB_TBL_DATA_FIELDS[[#This Row],[PCT_CALC_SHOW_STATUS_CODE]]=2,DB_TBL_DATA_FIELDS[[#This Row],[FIELD_STATUS_CODE]]=0),
DB_TBL_DATA_FIELDS[[#This Row],[FIELD_STATUS_CODE]],
"")
)</f>
        <v/>
      </c>
      <c r="AA54" s="2">
        <v>14</v>
      </c>
      <c r="AB54" s="2" t="s">
        <v>2268</v>
      </c>
    </row>
    <row r="55" spans="1:29" x14ac:dyDescent="0.3">
      <c r="A55" s="128"/>
      <c r="B55" s="128"/>
      <c r="C55" s="128" t="str">
        <f>IF($H$9&lt;&gt;"I",IF(DB_TBL_DATA_FIELDS[[#This Row],[SHEET_REF_WISH]]&lt;&gt;"",DB_TBL_DATA_FIELDS[[#This Row],[SHEET_REF_WISH]],""),IF(DB_TBL_DATA_FIELDS[[#This Row],[SHEET_REF_IDEA]]&lt;&gt;"",DB_TBL_DATA_FIELDS[[#This Row],[SHEET_REF_IDEA]],""))</f>
        <v/>
      </c>
      <c r="D55" s="128" t="s">
        <v>2270</v>
      </c>
      <c r="E55" s="128" t="b">
        <v>1</v>
      </c>
      <c r="F55" s="130" t="b">
        <v>0</v>
      </c>
      <c r="G55" s="129" t="s">
        <v>2271</v>
      </c>
      <c r="H55" s="129" t="str">
        <f ca="1">IFERROR(VLOOKUP(DB_TBL_DATA_FIELDS[[#This Row],[FIELD_ID]],INDIRECT(DB_TBL_DATA_FIELDS[[#This Row],[SHEET_REF_CALC]]&amp;"!A:B"),2,FALSE),"")</f>
        <v/>
      </c>
      <c r="J55" s="2" t="b">
        <f ca="1">(DB_TBL_DATA_FIELDS[[#This Row],[FIELD_VALUE_RAW]]="")</f>
        <v>1</v>
      </c>
      <c r="K55" s="2" t="s">
        <v>144</v>
      </c>
      <c r="L55" s="1" t="b">
        <f>AND(IF(DB_TBL_DATA_FIELDS[[#This Row],[FIELD_VALID_CUSTOM_LOGIC]]="",TRUE,DB_TBL_DATA_FIELDS[[#This Row],[FIELD_VALID_CUSTOM_LOGIC]]),DB_TBL_DATA_FIELDS[[#This Row],[RANGE_VALIDATION_PASSED_FLAG]])</f>
        <v>1</v>
      </c>
      <c r="M55"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55" s="1" t="str">
        <f>IF(DB_TBL_DATA_FIELDS[[#This Row],[SHEET_REF_CALC]]="","",IF(DB_TBL_DATA_FIELDS[[#This Row],[FIELD_EMPTY_FLAG]],IF(NOT(DB_TBL_DATA_FIELDS[[#This Row],[FIELD_REQ_FLAG]]),-1,1),IF(NOT(DB_TBL_DATA_FIELDS[[#This Row],[FIELD_VALID_FLAG]]),0,2)))</f>
        <v/>
      </c>
      <c r="O55" s="1" t="str">
        <f>IFERROR(VLOOKUP(DB_TBL_DATA_FIELDS[[#This Row],[FIELD_STATUS_CODE]],DB_TBL_CONFIG_FIELDSTATUSCODES[#All],3,FALSE),"")</f>
        <v/>
      </c>
      <c r="P55" s="1" t="str">
        <f>IFERROR(VLOOKUP(DB_TBL_DATA_FIELDS[[#This Row],[FIELD_STATUS_CODE]],DB_TBL_CONFIG_FIELDSTATUSCODES[#All],4,FALSE),"")</f>
        <v/>
      </c>
      <c r="Q55" s="1" t="b">
        <f>TRUE</f>
        <v>1</v>
      </c>
      <c r="R55" s="1" t="b">
        <v>0</v>
      </c>
      <c r="T55" s="1">
        <f ca="1">IF(DB_TBL_DATA_FIELDS[[#This Row],[RANGE_VALIDATION_FLAG]]="Text",LEN(DB_TBL_DATA_FIELDS[[#This Row],[FIELD_VALUE_RAW]]),IFERROR(VALUE(DB_TBL_DATA_FIELDS[[#This Row],[FIELD_VALUE_RAW]]),-1))</f>
        <v>-1</v>
      </c>
      <c r="U55" s="1">
        <v>0</v>
      </c>
      <c r="V55" s="1">
        <v>1</v>
      </c>
      <c r="W55" s="1" t="b">
        <f>IF(NOT(DB_TBL_DATA_FIELDS[[#This Row],[RANGE_VALIDATION_ON_FLAG]]),TRUE,
AND(DB_TBL_DATA_FIELDS[[#This Row],[RANGE_VALUE_LEN]]&gt;=DB_TBL_DATA_FIELDS[[#This Row],[RANGE_VALIDATION_MIN]],DB_TBL_DATA_FIELDS[[#This Row],[RANGE_VALUE_LEN]]&lt;=DB_TBL_DATA_FIELDS[[#This Row],[RANGE_VALIDATION_MAX]]))</f>
        <v>1</v>
      </c>
      <c r="X55" s="1">
        <v>1</v>
      </c>
      <c r="Y55" s="1" t="str">
        <f>IF(DB_TBL_DATA_FIELDS[[#This Row],[PCT_CALC_SHOW_STATUS_CODE]]=1,
DB_TBL_DATA_FIELDS[[#This Row],[FIELD_STATUS_CODE]],
IF(AND(DB_TBL_DATA_FIELDS[[#This Row],[PCT_CALC_SHOW_STATUS_CODE]]=2,DB_TBL_DATA_FIELDS[[#This Row],[FIELD_STATUS_CODE]]=0),
DB_TBL_DATA_FIELDS[[#This Row],[FIELD_STATUS_CODE]],
"")
)</f>
        <v/>
      </c>
      <c r="AA55" s="2">
        <v>15</v>
      </c>
      <c r="AB55" s="2" t="s">
        <v>2268</v>
      </c>
    </row>
    <row r="56" spans="1:29" x14ac:dyDescent="0.3">
      <c r="A56" s="1" t="s">
        <v>2226</v>
      </c>
      <c r="B56" s="128" t="s">
        <v>2227</v>
      </c>
      <c r="C56" s="1" t="str">
        <f>IF($H$9&lt;&gt;"I",IF(DB_TBL_DATA_FIELDS[[#This Row],[SHEET_REF_WISH]]&lt;&gt;"",DB_TBL_DATA_FIELDS[[#This Row],[SHEET_REF_WISH]],""),IF(DB_TBL_DATA_FIELDS[[#This Row],[SHEET_REF_IDEA]]&lt;&gt;"",DB_TBL_DATA_FIELDS[[#This Row],[SHEET_REF_IDEA]],""))</f>
        <v>WISH</v>
      </c>
      <c r="D56" s="1" t="s">
        <v>2272</v>
      </c>
      <c r="E56" s="1" t="b">
        <v>1</v>
      </c>
      <c r="F56" s="11" t="b">
        <v>1</v>
      </c>
      <c r="G56" s="2" t="s">
        <v>2278</v>
      </c>
      <c r="H56" s="2" t="str">
        <f ca="1">IFERROR(VLOOKUP(DB_TBL_DATA_FIELDS[[#This Row],[FIELD_ID]],INDIRECT(DB_TBL_DATA_FIELDS[[#This Row],[SHEET_REF_CALC]]&amp;"!A:B"),2,FALSE),"")</f>
        <v/>
      </c>
      <c r="J56" s="2" t="b">
        <f ca="1">(DB_TBL_DATA_FIELDS[[#This Row],[FIELD_VALUE_RAW]]="")</f>
        <v>1</v>
      </c>
      <c r="K56" s="2" t="s">
        <v>11</v>
      </c>
      <c r="L56" s="1" t="b">
        <f ca="1">AND(IF(DB_TBL_DATA_FIELDS[[#This Row],[FIELD_VALID_CUSTOM_LOGIC]]="",TRUE,DB_TBL_DATA_FIELDS[[#This Row],[FIELD_VALID_CUSTOM_LOGIC]]),DB_TBL_DATA_FIELDS[[#This Row],[RANGE_VALIDATION_PASSED_FLAG]])</f>
        <v>1</v>
      </c>
      <c r="M56"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56" s="1">
        <f ca="1">IF(DB_TBL_DATA_FIELDS[[#This Row],[SHEET_REF_CALC]]="","",IF(DB_TBL_DATA_FIELDS[[#This Row],[FIELD_EMPTY_FLAG]],IF(NOT(DB_TBL_DATA_FIELDS[[#This Row],[FIELD_REQ_FLAG]]),-1,1),IF(NOT(DB_TBL_DATA_FIELDS[[#This Row],[FIELD_VALID_FLAG]]),0,2)))</f>
        <v>1</v>
      </c>
      <c r="O56" s="1" t="str">
        <f ca="1">IFERROR(VLOOKUP(DB_TBL_DATA_FIELDS[[#This Row],[FIELD_STATUS_CODE]],DB_TBL_CONFIG_FIELDSTATUSCODES[#All],3,FALSE),"")</f>
        <v>Required</v>
      </c>
      <c r="P56" s="1" t="str">
        <f ca="1">IFERROR(VLOOKUP(DB_TBL_DATA_FIELDS[[#This Row],[FIELD_STATUS_CODE]],DB_TBL_CONFIG_FIELDSTATUSCODES[#All],4,FALSE),"")</f>
        <v>i</v>
      </c>
      <c r="Q56" s="1" t="b">
        <f>TRUE</f>
        <v>1</v>
      </c>
      <c r="R56" s="1" t="b">
        <f>TRUE</f>
        <v>1</v>
      </c>
      <c r="S56" s="1" t="s">
        <v>11</v>
      </c>
      <c r="T56" s="1">
        <f ca="1">IF(DB_TBL_DATA_FIELDS[[#This Row],[RANGE_VALIDATION_FLAG]]="Text",LEN(DB_TBL_DATA_FIELDS[[#This Row],[FIELD_VALUE_RAW]]),IFERROR(VALUE(DB_TBL_DATA_FIELDS[[#This Row],[FIELD_VALUE_RAW]]),-1))</f>
        <v>0</v>
      </c>
      <c r="U56" s="1">
        <v>0</v>
      </c>
      <c r="V56" s="1">
        <v>100</v>
      </c>
      <c r="W56" s="1" t="b">
        <f ca="1">IF(NOT(DB_TBL_DATA_FIELDS[[#This Row],[RANGE_VALIDATION_ON_FLAG]]),TRUE,
AND(DB_TBL_DATA_FIELDS[[#This Row],[RANGE_VALUE_LEN]]&gt;=DB_TBL_DATA_FIELDS[[#This Row],[RANGE_VALIDATION_MIN]],DB_TBL_DATA_FIELDS[[#This Row],[RANGE_VALUE_LEN]]&lt;=DB_TBL_DATA_FIELDS[[#This Row],[RANGE_VALIDATION_MAX]]))</f>
        <v>1</v>
      </c>
      <c r="X56" s="1">
        <v>1</v>
      </c>
      <c r="Y56" s="1">
        <f ca="1">IF(DB_TBL_DATA_FIELDS[[#This Row],[PCT_CALC_SHOW_STATUS_CODE]]=1,
DB_TBL_DATA_FIELDS[[#This Row],[FIELD_STATUS_CODE]],
IF(AND(DB_TBL_DATA_FIELDS[[#This Row],[PCT_CALC_SHOW_STATUS_CODE]]=2,DB_TBL_DATA_FIELDS[[#This Row],[FIELD_STATUS_CODE]]=0),
DB_TBL_DATA_FIELDS[[#This Row],[FIELD_STATUS_CODE]],
"")
)</f>
        <v>1</v>
      </c>
      <c r="AA56" s="2">
        <v>16</v>
      </c>
      <c r="AB56" s="2" t="s">
        <v>2268</v>
      </c>
    </row>
    <row r="57" spans="1:29" x14ac:dyDescent="0.3">
      <c r="A57" s="1" t="s">
        <v>2226</v>
      </c>
      <c r="B57" s="128" t="s">
        <v>2227</v>
      </c>
      <c r="C57" s="1" t="str">
        <f>IF($H$9&lt;&gt;"I",IF(DB_TBL_DATA_FIELDS[[#This Row],[SHEET_REF_WISH]]&lt;&gt;"",DB_TBL_DATA_FIELDS[[#This Row],[SHEET_REF_WISH]],""),IF(DB_TBL_DATA_FIELDS[[#This Row],[SHEET_REF_IDEA]]&lt;&gt;"",DB_TBL_DATA_FIELDS[[#This Row],[SHEET_REF_IDEA]],""))</f>
        <v>WISH</v>
      </c>
      <c r="D57" s="1" t="s">
        <v>2273</v>
      </c>
      <c r="E57" s="1" t="b">
        <v>1</v>
      </c>
      <c r="F57" s="11" t="b">
        <v>0</v>
      </c>
      <c r="G57" s="2" t="s">
        <v>2279</v>
      </c>
      <c r="H57" s="2" t="str">
        <f ca="1">IFERROR(VLOOKUP(DB_TBL_DATA_FIELDS[[#This Row],[FIELD_ID]],INDIRECT(DB_TBL_DATA_FIELDS[[#This Row],[SHEET_REF_CALC]]&amp;"!A:B"),2,FALSE),"")</f>
        <v/>
      </c>
      <c r="J57" s="2" t="b">
        <f ca="1">(DB_TBL_DATA_FIELDS[[#This Row],[FIELD_VALUE_RAW]]="")</f>
        <v>1</v>
      </c>
      <c r="K57" s="2" t="s">
        <v>11</v>
      </c>
      <c r="L57" s="1" t="b">
        <f ca="1">AND(IF(DB_TBL_DATA_FIELDS[[#This Row],[FIELD_VALID_CUSTOM_LOGIC]]="",TRUE,DB_TBL_DATA_FIELDS[[#This Row],[FIELD_VALID_CUSTOM_LOGIC]]),DB_TBL_DATA_FIELDS[[#This Row],[RANGE_VALIDATION_PASSED_FLAG]])</f>
        <v>1</v>
      </c>
      <c r="M57"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57" s="1">
        <f ca="1">IF(DB_TBL_DATA_FIELDS[[#This Row],[SHEET_REF_CALC]]="","",IF(DB_TBL_DATA_FIELDS[[#This Row],[FIELD_EMPTY_FLAG]],IF(NOT(DB_TBL_DATA_FIELDS[[#This Row],[FIELD_REQ_FLAG]]),-1,1),IF(NOT(DB_TBL_DATA_FIELDS[[#This Row],[FIELD_VALID_FLAG]]),0,2)))</f>
        <v>-1</v>
      </c>
      <c r="O57" s="1" t="str">
        <f ca="1">IFERROR(VLOOKUP(DB_TBL_DATA_FIELDS[[#This Row],[FIELD_STATUS_CODE]],DB_TBL_CONFIG_FIELDSTATUSCODES[#All],3,FALSE),"")</f>
        <v>Optional</v>
      </c>
      <c r="P57" s="1" t="str">
        <f ca="1">IFERROR(VLOOKUP(DB_TBL_DATA_FIELDS[[#This Row],[FIELD_STATUS_CODE]],DB_TBL_CONFIG_FIELDSTATUSCODES[#All],4,FALSE),"")</f>
        <v xml:space="preserve"> </v>
      </c>
      <c r="Q57" s="1" t="b">
        <f>TRUE</f>
        <v>1</v>
      </c>
      <c r="R57" s="1" t="b">
        <f>TRUE</f>
        <v>1</v>
      </c>
      <c r="S57" s="1" t="s">
        <v>11</v>
      </c>
      <c r="T57" s="1">
        <f ca="1">IF(DB_TBL_DATA_FIELDS[[#This Row],[RANGE_VALIDATION_FLAG]]="Text",LEN(DB_TBL_DATA_FIELDS[[#This Row],[FIELD_VALUE_RAW]]),IFERROR(VALUE(DB_TBL_DATA_FIELDS[[#This Row],[FIELD_VALUE_RAW]]),-1))</f>
        <v>0</v>
      </c>
      <c r="U57" s="1">
        <v>0</v>
      </c>
      <c r="V57" s="1">
        <v>100</v>
      </c>
      <c r="W57" s="1" t="b">
        <f ca="1">IF(NOT(DB_TBL_DATA_FIELDS[[#This Row],[RANGE_VALIDATION_ON_FLAG]]),TRUE,
AND(DB_TBL_DATA_FIELDS[[#This Row],[RANGE_VALUE_LEN]]&gt;=DB_TBL_DATA_FIELDS[[#This Row],[RANGE_VALIDATION_MIN]],DB_TBL_DATA_FIELDS[[#This Row],[RANGE_VALUE_LEN]]&lt;=DB_TBL_DATA_FIELDS[[#This Row],[RANGE_VALIDATION_MAX]]))</f>
        <v>1</v>
      </c>
      <c r="X57" s="1">
        <v>1</v>
      </c>
      <c r="Y57" s="1">
        <f ca="1">IF(DB_TBL_DATA_FIELDS[[#This Row],[PCT_CALC_SHOW_STATUS_CODE]]=1,
DB_TBL_DATA_FIELDS[[#This Row],[FIELD_STATUS_CODE]],
IF(AND(DB_TBL_DATA_FIELDS[[#This Row],[PCT_CALC_SHOW_STATUS_CODE]]=2,DB_TBL_DATA_FIELDS[[#This Row],[FIELD_STATUS_CODE]]=0),
DB_TBL_DATA_FIELDS[[#This Row],[FIELD_STATUS_CODE]],
"")
)</f>
        <v>-1</v>
      </c>
      <c r="AA57" s="2">
        <v>16</v>
      </c>
      <c r="AB57" s="2" t="s">
        <v>2268</v>
      </c>
    </row>
    <row r="58" spans="1:29" x14ac:dyDescent="0.3">
      <c r="A58" s="1" t="s">
        <v>2226</v>
      </c>
      <c r="B58" s="128" t="s">
        <v>2227</v>
      </c>
      <c r="C58" s="1" t="str">
        <f>IF($H$9&lt;&gt;"I",IF(DB_TBL_DATA_FIELDS[[#This Row],[SHEET_REF_WISH]]&lt;&gt;"",DB_TBL_DATA_FIELDS[[#This Row],[SHEET_REF_WISH]],""),IF(DB_TBL_DATA_FIELDS[[#This Row],[SHEET_REF_IDEA]]&lt;&gt;"",DB_TBL_DATA_FIELDS[[#This Row],[SHEET_REF_IDEA]],""))</f>
        <v>WISH</v>
      </c>
      <c r="D58" s="1" t="s">
        <v>2274</v>
      </c>
      <c r="E58" s="1" t="b">
        <v>1</v>
      </c>
      <c r="F58" s="11" t="b">
        <v>1</v>
      </c>
      <c r="G58" s="2" t="s">
        <v>2280</v>
      </c>
      <c r="H58" s="2" t="str">
        <f ca="1">IFERROR(VLOOKUP(DB_TBL_DATA_FIELDS[[#This Row],[FIELD_ID]],INDIRECT(DB_TBL_DATA_FIELDS[[#This Row],[SHEET_REF_CALC]]&amp;"!A:B"),2,FALSE),"")</f>
        <v/>
      </c>
      <c r="J58" s="2" t="b">
        <f ca="1">(DB_TBL_DATA_FIELDS[[#This Row],[FIELD_VALUE_RAW]]="")</f>
        <v>1</v>
      </c>
      <c r="K58" s="2" t="s">
        <v>11</v>
      </c>
      <c r="L58" s="1" t="b">
        <f ca="1">AND(IF(DB_TBL_DATA_FIELDS[[#This Row],[FIELD_VALID_CUSTOM_LOGIC]]="",TRUE,DB_TBL_DATA_FIELDS[[#This Row],[FIELD_VALID_CUSTOM_LOGIC]]),DB_TBL_DATA_FIELDS[[#This Row],[RANGE_VALIDATION_PASSED_FLAG]])</f>
        <v>1</v>
      </c>
      <c r="M58"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58" s="1">
        <f ca="1">IF(DB_TBL_DATA_FIELDS[[#This Row],[SHEET_REF_CALC]]="","",IF(DB_TBL_DATA_FIELDS[[#This Row],[FIELD_EMPTY_FLAG]],IF(NOT(DB_TBL_DATA_FIELDS[[#This Row],[FIELD_REQ_FLAG]]),-1,1),IF(NOT(DB_TBL_DATA_FIELDS[[#This Row],[FIELD_VALID_FLAG]]),0,2)))</f>
        <v>1</v>
      </c>
      <c r="O58" s="1" t="str">
        <f ca="1">IFERROR(VLOOKUP(DB_TBL_DATA_FIELDS[[#This Row],[FIELD_STATUS_CODE]],DB_TBL_CONFIG_FIELDSTATUSCODES[#All],3,FALSE),"")</f>
        <v>Required</v>
      </c>
      <c r="P58" s="1" t="str">
        <f ca="1">IFERROR(VLOOKUP(DB_TBL_DATA_FIELDS[[#This Row],[FIELD_STATUS_CODE]],DB_TBL_CONFIG_FIELDSTATUSCODES[#All],4,FALSE),"")</f>
        <v>i</v>
      </c>
      <c r="Q58" s="1" t="b">
        <f>TRUE</f>
        <v>1</v>
      </c>
      <c r="R58" s="1" t="b">
        <f>TRUE</f>
        <v>1</v>
      </c>
      <c r="S58" s="1" t="s">
        <v>11</v>
      </c>
      <c r="T58" s="1">
        <f ca="1">IF(DB_TBL_DATA_FIELDS[[#This Row],[RANGE_VALIDATION_FLAG]]="Text",LEN(DB_TBL_DATA_FIELDS[[#This Row],[FIELD_VALUE_RAW]]),IFERROR(VALUE(DB_TBL_DATA_FIELDS[[#This Row],[FIELD_VALUE_RAW]]),-1))</f>
        <v>0</v>
      </c>
      <c r="U58" s="1">
        <v>0</v>
      </c>
      <c r="V58" s="1">
        <v>25</v>
      </c>
      <c r="W58" s="1" t="b">
        <f ca="1">IF(NOT(DB_TBL_DATA_FIELDS[[#This Row],[RANGE_VALIDATION_ON_FLAG]]),TRUE,
AND(DB_TBL_DATA_FIELDS[[#This Row],[RANGE_VALUE_LEN]]&gt;=DB_TBL_DATA_FIELDS[[#This Row],[RANGE_VALIDATION_MIN]],DB_TBL_DATA_FIELDS[[#This Row],[RANGE_VALUE_LEN]]&lt;=DB_TBL_DATA_FIELDS[[#This Row],[RANGE_VALIDATION_MAX]]))</f>
        <v>1</v>
      </c>
      <c r="X58" s="1">
        <v>1</v>
      </c>
      <c r="Y58" s="1">
        <f ca="1">IF(DB_TBL_DATA_FIELDS[[#This Row],[PCT_CALC_SHOW_STATUS_CODE]]=1,
DB_TBL_DATA_FIELDS[[#This Row],[FIELD_STATUS_CODE]],
IF(AND(DB_TBL_DATA_FIELDS[[#This Row],[PCT_CALC_SHOW_STATUS_CODE]]=2,DB_TBL_DATA_FIELDS[[#This Row],[FIELD_STATUS_CODE]]=0),
DB_TBL_DATA_FIELDS[[#This Row],[FIELD_STATUS_CODE]],
"")
)</f>
        <v>1</v>
      </c>
      <c r="AA58" s="2">
        <v>17</v>
      </c>
      <c r="AB58" s="2" t="s">
        <v>2268</v>
      </c>
    </row>
    <row r="59" spans="1:29" x14ac:dyDescent="0.3">
      <c r="A59" s="1" t="s">
        <v>2226</v>
      </c>
      <c r="B59" s="128" t="s">
        <v>2227</v>
      </c>
      <c r="C59" s="1" t="str">
        <f>IF($H$9&lt;&gt;"I",IF(DB_TBL_DATA_FIELDS[[#This Row],[SHEET_REF_WISH]]&lt;&gt;"",DB_TBL_DATA_FIELDS[[#This Row],[SHEET_REF_WISH]],""),IF(DB_TBL_DATA_FIELDS[[#This Row],[SHEET_REF_IDEA]]&lt;&gt;"",DB_TBL_DATA_FIELDS[[#This Row],[SHEET_REF_IDEA]],""))</f>
        <v>WISH</v>
      </c>
      <c r="D59" s="1" t="s">
        <v>2275</v>
      </c>
      <c r="E59" s="1" t="b">
        <v>1</v>
      </c>
      <c r="F59" s="11" t="b">
        <v>1</v>
      </c>
      <c r="G59" s="2" t="s">
        <v>2281</v>
      </c>
      <c r="H59" s="2" t="str">
        <f ca="1">IFERROR(VLOOKUP(DB_TBL_DATA_FIELDS[[#This Row],[FIELD_ID]],INDIRECT(DB_TBL_DATA_FIELDS[[#This Row],[SHEET_REF_CALC]]&amp;"!A:B"),2,FALSE),"")</f>
        <v/>
      </c>
      <c r="I59" s="14" t="b">
        <f ca="1">NOT(LEFT(DB_TBL_DATA_FIELDS[[#This Row],[FIELD_VALUE_RAW]],1)="-")</f>
        <v>1</v>
      </c>
      <c r="J59" s="2" t="b">
        <f ca="1">(DB_TBL_DATA_FIELDS[[#This Row],[FIELD_VALUE_RAW]]="")</f>
        <v>1</v>
      </c>
      <c r="K59" s="2" t="s">
        <v>11</v>
      </c>
      <c r="L59" s="1" t="b">
        <f ca="1">AND(IF(DB_TBL_DATA_FIELDS[[#This Row],[FIELD_VALID_CUSTOM_LOGIC]]="",TRUE,DB_TBL_DATA_FIELDS[[#This Row],[FIELD_VALID_CUSTOM_LOGIC]]),DB_TBL_DATA_FIELDS[[#This Row],[RANGE_VALIDATION_PASSED_FLAG]])</f>
        <v>1</v>
      </c>
      <c r="M59"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59" s="1">
        <f ca="1">IF(DB_TBL_DATA_FIELDS[[#This Row],[SHEET_REF_CALC]]="","",IF(DB_TBL_DATA_FIELDS[[#This Row],[FIELD_EMPTY_FLAG]],IF(NOT(DB_TBL_DATA_FIELDS[[#This Row],[FIELD_REQ_FLAG]]),-1,1),IF(NOT(DB_TBL_DATA_FIELDS[[#This Row],[FIELD_VALID_FLAG]]),0,2)))</f>
        <v>1</v>
      </c>
      <c r="O59" s="1" t="str">
        <f ca="1">IFERROR(VLOOKUP(DB_TBL_DATA_FIELDS[[#This Row],[FIELD_STATUS_CODE]],DB_TBL_CONFIG_FIELDSTATUSCODES[#All],3,FALSE),"")</f>
        <v>Required</v>
      </c>
      <c r="P59" s="1" t="str">
        <f ca="1">IFERROR(VLOOKUP(DB_TBL_DATA_FIELDS[[#This Row],[FIELD_STATUS_CODE]],DB_TBL_CONFIG_FIELDSTATUSCODES[#All],4,FALSE),"")</f>
        <v>i</v>
      </c>
      <c r="Q59" s="1" t="b">
        <f>TRUE</f>
        <v>1</v>
      </c>
      <c r="R59" s="1" t="b">
        <f>TRUE</f>
        <v>1</v>
      </c>
      <c r="S59" s="1" t="s">
        <v>11</v>
      </c>
      <c r="T59" s="1">
        <f ca="1">IF(DB_TBL_DATA_FIELDS[[#This Row],[RANGE_VALIDATION_FLAG]]="Text",LEN(DB_TBL_DATA_FIELDS[[#This Row],[FIELD_VALUE_RAW]]),IFERROR(VALUE(DB_TBL_DATA_FIELDS[[#This Row],[FIELD_VALUE_RAW]]),-1))</f>
        <v>0</v>
      </c>
      <c r="U59" s="1">
        <v>0</v>
      </c>
      <c r="V59" s="1">
        <v>10</v>
      </c>
      <c r="W59" s="1" t="b">
        <f ca="1">IF(NOT(DB_TBL_DATA_FIELDS[[#This Row],[RANGE_VALIDATION_ON_FLAG]]),TRUE,
AND(DB_TBL_DATA_FIELDS[[#This Row],[RANGE_VALUE_LEN]]&gt;=DB_TBL_DATA_FIELDS[[#This Row],[RANGE_VALIDATION_MIN]],DB_TBL_DATA_FIELDS[[#This Row],[RANGE_VALUE_LEN]]&lt;=DB_TBL_DATA_FIELDS[[#This Row],[RANGE_VALIDATION_MAX]]))</f>
        <v>1</v>
      </c>
      <c r="X59" s="1">
        <v>1</v>
      </c>
      <c r="Y59" s="1">
        <f ca="1">IF(DB_TBL_DATA_FIELDS[[#This Row],[PCT_CALC_SHOW_STATUS_CODE]]=1,
DB_TBL_DATA_FIELDS[[#This Row],[FIELD_STATUS_CODE]],
IF(AND(DB_TBL_DATA_FIELDS[[#This Row],[PCT_CALC_SHOW_STATUS_CODE]]=2,DB_TBL_DATA_FIELDS[[#This Row],[FIELD_STATUS_CODE]]=0),
DB_TBL_DATA_FIELDS[[#This Row],[FIELD_STATUS_CODE]],
"")
)</f>
        <v>1</v>
      </c>
      <c r="AA59" s="2">
        <v>18</v>
      </c>
      <c r="AB59" s="2" t="s">
        <v>2268</v>
      </c>
    </row>
    <row r="60" spans="1:29" x14ac:dyDescent="0.3">
      <c r="A60" s="1" t="s">
        <v>2226</v>
      </c>
      <c r="B60" s="128" t="s">
        <v>2227</v>
      </c>
      <c r="C60" s="1" t="str">
        <f>IF($H$9&lt;&gt;"I",IF(DB_TBL_DATA_FIELDS[[#This Row],[SHEET_REF_WISH]]&lt;&gt;"",DB_TBL_DATA_FIELDS[[#This Row],[SHEET_REF_WISH]],""),IF(DB_TBL_DATA_FIELDS[[#This Row],[SHEET_REF_IDEA]]&lt;&gt;"",DB_TBL_DATA_FIELDS[[#This Row],[SHEET_REF_IDEA]],""))</f>
        <v>WISH</v>
      </c>
      <c r="D60" s="1" t="s">
        <v>2276</v>
      </c>
      <c r="E60" s="1" t="b">
        <v>1</v>
      </c>
      <c r="F60" s="11" t="b">
        <v>1</v>
      </c>
      <c r="G60" s="2" t="s">
        <v>2282</v>
      </c>
      <c r="H60" s="14" t="str">
        <f ca="1">UPPER(IFERROR(VLOOKUP(DB_TBL_DATA_FIELDS[[#This Row],[FIELD_ID]],INDIRECT(DB_TBL_DATA_FIELDS[[#This Row],[SHEET_REF_CALC]]&amp;"!A:B"),2,FALSE),""))</f>
        <v/>
      </c>
      <c r="J60" s="2" t="b">
        <f ca="1">(DB_TBL_DATA_FIELDS[[#This Row],[FIELD_VALUE_RAW]]="")</f>
        <v>1</v>
      </c>
      <c r="K60" s="2" t="s">
        <v>11</v>
      </c>
      <c r="L60" s="1" t="b">
        <f ca="1">AND(IF(DB_TBL_DATA_FIELDS[[#This Row],[FIELD_VALID_CUSTOM_LOGIC]]="",TRUE,DB_TBL_DATA_FIELDS[[#This Row],[FIELD_VALID_CUSTOM_LOGIC]]),DB_TBL_DATA_FIELDS[[#This Row],[RANGE_VALIDATION_PASSED_FLAG]])</f>
        <v>1</v>
      </c>
      <c r="M60"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60" s="1">
        <f ca="1">IF(DB_TBL_DATA_FIELDS[[#This Row],[SHEET_REF_CALC]]="","",IF(DB_TBL_DATA_FIELDS[[#This Row],[FIELD_EMPTY_FLAG]],IF(NOT(DB_TBL_DATA_FIELDS[[#This Row],[FIELD_REQ_FLAG]]),-1,1),IF(NOT(DB_TBL_DATA_FIELDS[[#This Row],[FIELD_VALID_FLAG]]),0,2)))</f>
        <v>1</v>
      </c>
      <c r="O60" s="1" t="str">
        <f ca="1">IFERROR(VLOOKUP(DB_TBL_DATA_FIELDS[[#This Row],[FIELD_STATUS_CODE]],DB_TBL_CONFIG_FIELDSTATUSCODES[#All],3,FALSE),"")</f>
        <v>Required</v>
      </c>
      <c r="P60" s="1" t="str">
        <f ca="1">IFERROR(VLOOKUP(DB_TBL_DATA_FIELDS[[#This Row],[FIELD_STATUS_CODE]],DB_TBL_CONFIG_FIELDSTATUSCODES[#All],4,FALSE),"")</f>
        <v>i</v>
      </c>
      <c r="Q60" s="1" t="b">
        <f>TRUE</f>
        <v>1</v>
      </c>
      <c r="R60" s="1" t="b">
        <f>TRUE</f>
        <v>1</v>
      </c>
      <c r="S60" s="1" t="s">
        <v>11</v>
      </c>
      <c r="T60" s="1">
        <f ca="1">IF(DB_TBL_DATA_FIELDS[[#This Row],[RANGE_VALIDATION_FLAG]]="Text",LEN(DB_TBL_DATA_FIELDS[[#This Row],[FIELD_VALUE_RAW]]),IFERROR(VALUE(DB_TBL_DATA_FIELDS[[#This Row],[FIELD_VALUE_RAW]]),-1))</f>
        <v>0</v>
      </c>
      <c r="U60" s="1">
        <v>0</v>
      </c>
      <c r="V60" s="1">
        <v>2</v>
      </c>
      <c r="W60" s="1" t="b">
        <f ca="1">IF(NOT(DB_TBL_DATA_FIELDS[[#This Row],[RANGE_VALIDATION_ON_FLAG]]),TRUE,
AND(DB_TBL_DATA_FIELDS[[#This Row],[RANGE_VALUE_LEN]]&gt;=DB_TBL_DATA_FIELDS[[#This Row],[RANGE_VALIDATION_MIN]],DB_TBL_DATA_FIELDS[[#This Row],[RANGE_VALUE_LEN]]&lt;=DB_TBL_DATA_FIELDS[[#This Row],[RANGE_VALIDATION_MAX]]))</f>
        <v>1</v>
      </c>
      <c r="X60" s="1">
        <v>1</v>
      </c>
      <c r="Y60" s="1">
        <f ca="1">IF(DB_TBL_DATA_FIELDS[[#This Row],[PCT_CALC_SHOW_STATUS_CODE]]=1,
DB_TBL_DATA_FIELDS[[#This Row],[FIELD_STATUS_CODE]],
IF(AND(DB_TBL_DATA_FIELDS[[#This Row],[PCT_CALC_SHOW_STATUS_CODE]]=2,DB_TBL_DATA_FIELDS[[#This Row],[FIELD_STATUS_CODE]]=0),
DB_TBL_DATA_FIELDS[[#This Row],[FIELD_STATUS_CODE]],
"")
)</f>
        <v>1</v>
      </c>
      <c r="AA60" s="2">
        <v>19</v>
      </c>
      <c r="AB60" s="2" t="s">
        <v>2268</v>
      </c>
    </row>
    <row r="61" spans="1:29" ht="13.5" thickBot="1" x14ac:dyDescent="0.35">
      <c r="A61" s="30" t="s">
        <v>2226</v>
      </c>
      <c r="B61" s="132" t="s">
        <v>2227</v>
      </c>
      <c r="C61" s="30" t="str">
        <f>IF($H$9&lt;&gt;"I",IF(DB_TBL_DATA_FIELDS[[#This Row],[SHEET_REF_WISH]]&lt;&gt;"",DB_TBL_DATA_FIELDS[[#This Row],[SHEET_REF_WISH]],""),IF(DB_TBL_DATA_FIELDS[[#This Row],[SHEET_REF_IDEA]]&lt;&gt;"",DB_TBL_DATA_FIELDS[[#This Row],[SHEET_REF_IDEA]],""))</f>
        <v>WISH</v>
      </c>
      <c r="D61" s="30" t="s">
        <v>2277</v>
      </c>
      <c r="E61" s="30" t="b">
        <v>1</v>
      </c>
      <c r="F61" s="32" t="b">
        <v>1</v>
      </c>
      <c r="G61" s="33" t="s">
        <v>2283</v>
      </c>
      <c r="H61" s="34" t="str">
        <f ca="1">PROPER(IFERROR(VLOOKUP(DB_TBL_DATA_FIELDS[[#This Row],[FIELD_ID]],INDIRECT(DB_TBL_DATA_FIELDS[[#This Row],[SHEET_REF_CALC]]&amp;"!A:B"),2,FALSE),""))</f>
        <v/>
      </c>
      <c r="I61" s="34" t="b">
        <f ca="1">(DB_TBL_DATA_FIELDS[[#This Row],[FIELD_VALUE_RAW]]&lt;&gt;RANGE_LOOKUP_COUNTY_PLACEHOLDER)</f>
        <v>1</v>
      </c>
      <c r="J61" s="33" t="b">
        <f ca="1">(DB_TBL_DATA_FIELDS[[#This Row],[FIELD_VALUE_RAW]]="")</f>
        <v>1</v>
      </c>
      <c r="K61" s="33" t="s">
        <v>11</v>
      </c>
      <c r="L61" s="30" t="b">
        <f ca="1">AND(IF(DB_TBL_DATA_FIELDS[[#This Row],[FIELD_VALID_CUSTOM_LOGIC]]="",TRUE,DB_TBL_DATA_FIELDS[[#This Row],[FIELD_VALID_CUSTOM_LOGIC]]),DB_TBL_DATA_FIELDS[[#This Row],[RANGE_VALIDATION_PASSED_FLAG]])</f>
        <v>1</v>
      </c>
      <c r="M61" s="3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61" s="30">
        <f ca="1">IF(DB_TBL_DATA_FIELDS[[#This Row],[SHEET_REF_CALC]]="","",IF(DB_TBL_DATA_FIELDS[[#This Row],[FIELD_EMPTY_FLAG]],IF(NOT(DB_TBL_DATA_FIELDS[[#This Row],[FIELD_REQ_FLAG]]),-1,1),IF(NOT(DB_TBL_DATA_FIELDS[[#This Row],[FIELD_VALID_FLAG]]),0,2)))</f>
        <v>1</v>
      </c>
      <c r="O61" s="30" t="str">
        <f ca="1">IFERROR(VLOOKUP(DB_TBL_DATA_FIELDS[[#This Row],[FIELD_STATUS_CODE]],DB_TBL_CONFIG_FIELDSTATUSCODES[#All],3,FALSE),"")</f>
        <v>Required</v>
      </c>
      <c r="P61" s="30" t="str">
        <f ca="1">IFERROR(VLOOKUP(DB_TBL_DATA_FIELDS[[#This Row],[FIELD_STATUS_CODE]],DB_TBL_CONFIG_FIELDSTATUSCODES[#All],4,FALSE),"")</f>
        <v>i</v>
      </c>
      <c r="Q61" s="30" t="b">
        <f>TRUE</f>
        <v>1</v>
      </c>
      <c r="R61" s="30" t="b">
        <f>TRUE</f>
        <v>1</v>
      </c>
      <c r="S61" s="30" t="s">
        <v>11</v>
      </c>
      <c r="T61" s="30">
        <f ca="1">IF(DB_TBL_DATA_FIELDS[[#This Row],[RANGE_VALIDATION_FLAG]]="Text",LEN(DB_TBL_DATA_FIELDS[[#This Row],[FIELD_VALUE_RAW]]),IFERROR(VALUE(DB_TBL_DATA_FIELDS[[#This Row],[FIELD_VALUE_RAW]]),-1))</f>
        <v>0</v>
      </c>
      <c r="U61" s="30">
        <v>0</v>
      </c>
      <c r="V61" s="111">
        <v>40</v>
      </c>
      <c r="W61" s="30" t="b">
        <f ca="1">IF(NOT(DB_TBL_DATA_FIELDS[[#This Row],[RANGE_VALIDATION_ON_FLAG]]),TRUE,
AND(DB_TBL_DATA_FIELDS[[#This Row],[RANGE_VALUE_LEN]]&gt;=DB_TBL_DATA_FIELDS[[#This Row],[RANGE_VALIDATION_MIN]],DB_TBL_DATA_FIELDS[[#This Row],[RANGE_VALUE_LEN]]&lt;=DB_TBL_DATA_FIELDS[[#This Row],[RANGE_VALIDATION_MAX]]))</f>
        <v>1</v>
      </c>
      <c r="X61" s="30">
        <v>1</v>
      </c>
      <c r="Y61" s="30">
        <f ca="1">IF(DB_TBL_DATA_FIELDS[[#This Row],[PCT_CALC_SHOW_STATUS_CODE]]=1,
DB_TBL_DATA_FIELDS[[#This Row],[FIELD_STATUS_CODE]],
IF(AND(DB_TBL_DATA_FIELDS[[#This Row],[PCT_CALC_SHOW_STATUS_CODE]]=2,DB_TBL_DATA_FIELDS[[#This Row],[FIELD_STATUS_CODE]]=0),
DB_TBL_DATA_FIELDS[[#This Row],[FIELD_STATUS_CODE]],
"")
)</f>
        <v>1</v>
      </c>
      <c r="Z61" s="30"/>
      <c r="AA61" s="33">
        <v>20</v>
      </c>
      <c r="AB61" s="33" t="s">
        <v>2268</v>
      </c>
      <c r="AC61" s="30"/>
    </row>
    <row r="62" spans="1:29" x14ac:dyDescent="0.3">
      <c r="A62" s="1" t="s">
        <v>2226</v>
      </c>
      <c r="B62" s="128" t="s">
        <v>2227</v>
      </c>
      <c r="C62" s="1" t="str">
        <f>IF($H$9&lt;&gt;"I",IF(DB_TBL_DATA_FIELDS[[#This Row],[SHEET_REF_WISH]]&lt;&gt;"",DB_TBL_DATA_FIELDS[[#This Row],[SHEET_REF_WISH]],""),IF(DB_TBL_DATA_FIELDS[[#This Row],[SHEET_REF_IDEA]]&lt;&gt;"",DB_TBL_DATA_FIELDS[[#This Row],[SHEET_REF_IDEA]],""))</f>
        <v>WISH</v>
      </c>
      <c r="D62" s="1" t="s">
        <v>2266</v>
      </c>
      <c r="E62" s="1" t="b">
        <v>1</v>
      </c>
      <c r="F62" s="11" t="b">
        <v>1</v>
      </c>
      <c r="G62" s="2" t="s">
        <v>2310</v>
      </c>
      <c r="H62" s="2" t="str">
        <f ca="1">IFERROR(VLOOKUP(DB_TBL_DATA_FIELDS[[#This Row],[FIELD_ID]],INDIRECT(DB_TBL_DATA_FIELDS[[#This Row],[SHEET_REF_CALC]]&amp;"!A:B"),2,FALSE),"")</f>
        <v/>
      </c>
      <c r="J62" s="2" t="b">
        <f ca="1">(DB_TBL_DATA_FIELDS[[#This Row],[FIELD_VALUE_RAW]]="")</f>
        <v>1</v>
      </c>
      <c r="K62" s="2" t="s">
        <v>144</v>
      </c>
      <c r="L62" s="1" t="b">
        <f>AND(IF(DB_TBL_DATA_FIELDS[[#This Row],[FIELD_VALID_CUSTOM_LOGIC]]="",TRUE,DB_TBL_DATA_FIELDS[[#This Row],[FIELD_VALID_CUSTOM_LOGIC]]),DB_TBL_DATA_FIELDS[[#This Row],[RANGE_VALIDATION_PASSED_FLAG]])</f>
        <v>1</v>
      </c>
      <c r="M62"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62" s="1">
        <f ca="1">IF(DB_TBL_DATA_FIELDS[[#This Row],[SHEET_REF_CALC]]="","",IF(DB_TBL_DATA_FIELDS[[#This Row],[FIELD_EMPTY_FLAG]],IF(NOT(DB_TBL_DATA_FIELDS[[#This Row],[FIELD_REQ_FLAG]]),-1,1),IF(NOT(DB_TBL_DATA_FIELDS[[#This Row],[FIELD_VALID_FLAG]]),0,2)))</f>
        <v>1</v>
      </c>
      <c r="O62" s="1" t="str">
        <f ca="1">IFERROR(VLOOKUP(DB_TBL_DATA_FIELDS[[#This Row],[FIELD_STATUS_CODE]],DB_TBL_CONFIG_FIELDSTATUSCODES[#All],3,FALSE),"")</f>
        <v>Required</v>
      </c>
      <c r="P62" s="1" t="str">
        <f ca="1">IFERROR(VLOOKUP(DB_TBL_DATA_FIELDS[[#This Row],[FIELD_STATUS_CODE]],DB_TBL_CONFIG_FIELDSTATUSCODES[#All],4,FALSE),"")</f>
        <v>i</v>
      </c>
      <c r="Q62" s="1" t="b">
        <f>TRUE</f>
        <v>1</v>
      </c>
      <c r="R62" s="1" t="b">
        <v>0</v>
      </c>
      <c r="T62" s="1">
        <f ca="1">IF(DB_TBL_DATA_FIELDS[[#This Row],[RANGE_VALIDATION_FLAG]]="Text",LEN(DB_TBL_DATA_FIELDS[[#This Row],[FIELD_VALUE_RAW]]),IFERROR(VALUE(DB_TBL_DATA_FIELDS[[#This Row],[FIELD_VALUE_RAW]]),-1))</f>
        <v>-1</v>
      </c>
      <c r="U62" s="1">
        <v>0</v>
      </c>
      <c r="V62" s="1">
        <v>1</v>
      </c>
      <c r="W62" s="1" t="b">
        <f>IF(NOT(DB_TBL_DATA_FIELDS[[#This Row],[RANGE_VALIDATION_ON_FLAG]]),TRUE,
AND(DB_TBL_DATA_FIELDS[[#This Row],[RANGE_VALUE_LEN]]&gt;=DB_TBL_DATA_FIELDS[[#This Row],[RANGE_VALIDATION_MIN]],DB_TBL_DATA_FIELDS[[#This Row],[RANGE_VALUE_LEN]]&lt;=DB_TBL_DATA_FIELDS[[#This Row],[RANGE_VALIDATION_MAX]]))</f>
        <v>1</v>
      </c>
      <c r="X62" s="1">
        <v>1</v>
      </c>
      <c r="Y62" s="1">
        <f ca="1">IF(DB_TBL_DATA_FIELDS[[#This Row],[PCT_CALC_SHOW_STATUS_CODE]]=1,
DB_TBL_DATA_FIELDS[[#This Row],[FIELD_STATUS_CODE]],
IF(AND(DB_TBL_DATA_FIELDS[[#This Row],[PCT_CALC_SHOW_STATUS_CODE]]=2,DB_TBL_DATA_FIELDS[[#This Row],[FIELD_STATUS_CODE]]=0),
DB_TBL_DATA_FIELDS[[#This Row],[FIELD_STATUS_CODE]],
"")
)</f>
        <v>1</v>
      </c>
      <c r="AA62" s="2">
        <v>21</v>
      </c>
      <c r="AB62" s="2" t="s">
        <v>2341</v>
      </c>
    </row>
    <row r="63" spans="1:29" x14ac:dyDescent="0.3">
      <c r="A63" s="1" t="s">
        <v>2226</v>
      </c>
      <c r="B63" s="128" t="s">
        <v>2227</v>
      </c>
      <c r="C63" s="1" t="str">
        <f>IF($H$9&lt;&gt;"I",IF(DB_TBL_DATA_FIELDS[[#This Row],[SHEET_REF_WISH]]&lt;&gt;"",DB_TBL_DATA_FIELDS[[#This Row],[SHEET_REF_WISH]],""),IF(DB_TBL_DATA_FIELDS[[#This Row],[SHEET_REF_IDEA]]&lt;&gt;"",DB_TBL_DATA_FIELDS[[#This Row],[SHEET_REF_IDEA]],""))</f>
        <v>WISH</v>
      </c>
      <c r="D63" s="1" t="s">
        <v>2284</v>
      </c>
      <c r="E63" s="1" t="b">
        <v>1</v>
      </c>
      <c r="F63" s="11" t="b">
        <v>1</v>
      </c>
      <c r="G63" s="2" t="s">
        <v>2311</v>
      </c>
      <c r="H63" s="2" t="str">
        <f ca="1">IFERROR(VLOOKUP(DB_TBL_DATA_FIELDS[[#This Row],[FIELD_ID]],INDIRECT(DB_TBL_DATA_FIELDS[[#This Row],[SHEET_REF_CALC]]&amp;"!A:B"),2,FALSE),"")</f>
        <v/>
      </c>
      <c r="J63" s="2" t="b">
        <f ca="1">(DB_TBL_DATA_FIELDS[[#This Row],[FIELD_VALUE_RAW]]="")</f>
        <v>1</v>
      </c>
      <c r="K63" s="2" t="s">
        <v>11</v>
      </c>
      <c r="L63" s="1" t="b">
        <f ca="1">AND(IF(DB_TBL_DATA_FIELDS[[#This Row],[FIELD_VALID_CUSTOM_LOGIC]]="",TRUE,DB_TBL_DATA_FIELDS[[#This Row],[FIELD_VALID_CUSTOM_LOGIC]]),DB_TBL_DATA_FIELDS[[#This Row],[RANGE_VALIDATION_PASSED_FLAG]])</f>
        <v>1</v>
      </c>
      <c r="M63"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63" s="1">
        <f ca="1">IF(DB_TBL_DATA_FIELDS[[#This Row],[SHEET_REF_CALC]]="","",IF(DB_TBL_DATA_FIELDS[[#This Row],[FIELD_EMPTY_FLAG]],IF(NOT(DB_TBL_DATA_FIELDS[[#This Row],[FIELD_REQ_FLAG]]),-1,1),IF(NOT(DB_TBL_DATA_FIELDS[[#This Row],[FIELD_VALID_FLAG]]),0,2)))</f>
        <v>1</v>
      </c>
      <c r="O63" s="1" t="str">
        <f ca="1">IFERROR(VLOOKUP(DB_TBL_DATA_FIELDS[[#This Row],[FIELD_STATUS_CODE]],DB_TBL_CONFIG_FIELDSTATUSCODES[#All],3,FALSE),"")</f>
        <v>Required</v>
      </c>
      <c r="P63" s="1" t="str">
        <f ca="1">IFERROR(VLOOKUP(DB_TBL_DATA_FIELDS[[#This Row],[FIELD_STATUS_CODE]],DB_TBL_CONFIG_FIELDSTATUSCODES[#All],4,FALSE),"")</f>
        <v>i</v>
      </c>
      <c r="Q63" s="1" t="b">
        <f>TRUE</f>
        <v>1</v>
      </c>
      <c r="R63" s="1" t="b">
        <f>TRUE</f>
        <v>1</v>
      </c>
      <c r="S63" s="1" t="s">
        <v>11</v>
      </c>
      <c r="T63" s="1">
        <f ca="1">IF(DB_TBL_DATA_FIELDS[[#This Row],[RANGE_VALIDATION_FLAG]]="Text",LEN(DB_TBL_DATA_FIELDS[[#This Row],[FIELD_VALUE_RAW]]),IFERROR(VALUE(DB_TBL_DATA_FIELDS[[#This Row],[FIELD_VALUE_RAW]]),-1))</f>
        <v>0</v>
      </c>
      <c r="U63" s="1">
        <v>0</v>
      </c>
      <c r="V63" s="1">
        <v>100</v>
      </c>
      <c r="W63" s="1" t="b">
        <f ca="1">IF(NOT(DB_TBL_DATA_FIELDS[[#This Row],[RANGE_VALIDATION_ON_FLAG]]),TRUE,
AND(DB_TBL_DATA_FIELDS[[#This Row],[RANGE_VALUE_LEN]]&gt;=DB_TBL_DATA_FIELDS[[#This Row],[RANGE_VALIDATION_MIN]],DB_TBL_DATA_FIELDS[[#This Row],[RANGE_VALUE_LEN]]&lt;=DB_TBL_DATA_FIELDS[[#This Row],[RANGE_VALIDATION_MAX]]))</f>
        <v>1</v>
      </c>
      <c r="X63" s="1">
        <v>1</v>
      </c>
      <c r="Y63" s="1">
        <f ca="1">IF(DB_TBL_DATA_FIELDS[[#This Row],[PCT_CALC_SHOW_STATUS_CODE]]=1,
DB_TBL_DATA_FIELDS[[#This Row],[FIELD_STATUS_CODE]],
IF(AND(DB_TBL_DATA_FIELDS[[#This Row],[PCT_CALC_SHOW_STATUS_CODE]]=2,DB_TBL_DATA_FIELDS[[#This Row],[FIELD_STATUS_CODE]]=0),
DB_TBL_DATA_FIELDS[[#This Row],[FIELD_STATUS_CODE]],
"")
)</f>
        <v>1</v>
      </c>
      <c r="AA63" s="2">
        <v>22</v>
      </c>
      <c r="AB63" s="2" t="s">
        <v>2341</v>
      </c>
    </row>
    <row r="64" spans="1:29" x14ac:dyDescent="0.3">
      <c r="A64" s="1" t="s">
        <v>2226</v>
      </c>
      <c r="B64" s="128" t="s">
        <v>2227</v>
      </c>
      <c r="C64" s="1" t="str">
        <f>IF($H$9&lt;&gt;"I",IF(DB_TBL_DATA_FIELDS[[#This Row],[SHEET_REF_WISH]]&lt;&gt;"",DB_TBL_DATA_FIELDS[[#This Row],[SHEET_REF_WISH]],""),IF(DB_TBL_DATA_FIELDS[[#This Row],[SHEET_REF_IDEA]]&lt;&gt;"",DB_TBL_DATA_FIELDS[[#This Row],[SHEET_REF_IDEA]],""))</f>
        <v>WISH</v>
      </c>
      <c r="D64" s="1" t="s">
        <v>2285</v>
      </c>
      <c r="E64" s="1" t="b">
        <v>1</v>
      </c>
      <c r="F64" s="11" t="b">
        <v>1</v>
      </c>
      <c r="G64" s="2" t="s">
        <v>2312</v>
      </c>
      <c r="H64" s="2" t="str">
        <f ca="1">IFERROR(VLOOKUP(DB_TBL_DATA_FIELDS[[#This Row],[FIELD_ID]],INDIRECT(DB_TBL_DATA_FIELDS[[#This Row],[SHEET_REF_CALC]]&amp;"!A:B"),2,FALSE),"")</f>
        <v/>
      </c>
      <c r="J64" s="2" t="b">
        <f ca="1">(DB_TBL_DATA_FIELDS[[#This Row],[FIELD_VALUE_RAW]]="")</f>
        <v>1</v>
      </c>
      <c r="K64" s="2" t="s">
        <v>42</v>
      </c>
      <c r="L64" s="1" t="b">
        <f ca="1">AND(IF(DB_TBL_DATA_FIELDS[[#This Row],[FIELD_VALID_CUSTOM_LOGIC]]="",TRUE,DB_TBL_DATA_FIELDS[[#This Row],[FIELD_VALID_CUSTOM_LOGIC]]),DB_TBL_DATA_FIELDS[[#This Row],[RANGE_VALIDATION_PASSED_FLAG]])</f>
        <v>0</v>
      </c>
      <c r="M64"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64" s="1">
        <f ca="1">IF(DB_TBL_DATA_FIELDS[[#This Row],[SHEET_REF_CALC]]="","",IF(DB_TBL_DATA_FIELDS[[#This Row],[FIELD_EMPTY_FLAG]],IF(NOT(DB_TBL_DATA_FIELDS[[#This Row],[FIELD_REQ_FLAG]]),-1,1),IF(NOT(DB_TBL_DATA_FIELDS[[#This Row],[FIELD_VALID_FLAG]]),0,2)))</f>
        <v>1</v>
      </c>
      <c r="O64" s="1" t="str">
        <f ca="1">IFERROR(VLOOKUP(DB_TBL_DATA_FIELDS[[#This Row],[FIELD_STATUS_CODE]],DB_TBL_CONFIG_FIELDSTATUSCODES[#All],3,FALSE),"")</f>
        <v>Required</v>
      </c>
      <c r="P64" s="1" t="str">
        <f ca="1">IFERROR(VLOOKUP(DB_TBL_DATA_FIELDS[[#This Row],[FIELD_STATUS_CODE]],DB_TBL_CONFIG_FIELDSTATUSCODES[#All],4,FALSE),"")</f>
        <v>i</v>
      </c>
      <c r="Q64" s="1" t="b">
        <f>TRUE</f>
        <v>1</v>
      </c>
      <c r="R64" s="1" t="b">
        <f>TRUE</f>
        <v>1</v>
      </c>
      <c r="S64" s="1" t="s">
        <v>42</v>
      </c>
      <c r="T64" s="1">
        <f ca="1">IF(DB_TBL_DATA_FIELDS[[#This Row],[RANGE_VALIDATION_FLAG]]="Text",LEN(DB_TBL_DATA_FIELDS[[#This Row],[FIELD_VALUE_RAW]]),IFERROR(VALUE(DB_TBL_DATA_FIELDS[[#This Row],[FIELD_VALUE_RAW]]),-1))</f>
        <v>-1</v>
      </c>
      <c r="U64" s="1">
        <v>1</v>
      </c>
      <c r="V64" s="1">
        <v>999999999999</v>
      </c>
      <c r="W64" s="1" t="b">
        <f ca="1">IF(NOT(DB_TBL_DATA_FIELDS[[#This Row],[RANGE_VALIDATION_ON_FLAG]]),TRUE,
AND(DB_TBL_DATA_FIELDS[[#This Row],[RANGE_VALUE_LEN]]&gt;=DB_TBL_DATA_FIELDS[[#This Row],[RANGE_VALIDATION_MIN]],DB_TBL_DATA_FIELDS[[#This Row],[RANGE_VALUE_LEN]]&lt;=DB_TBL_DATA_FIELDS[[#This Row],[RANGE_VALIDATION_MAX]]))</f>
        <v>0</v>
      </c>
      <c r="X64" s="1">
        <v>1</v>
      </c>
      <c r="Y64" s="1">
        <f ca="1">IF(DB_TBL_DATA_FIELDS[[#This Row],[PCT_CALC_SHOW_STATUS_CODE]]=1,
DB_TBL_DATA_FIELDS[[#This Row],[FIELD_STATUS_CODE]],
IF(AND(DB_TBL_DATA_FIELDS[[#This Row],[PCT_CALC_SHOW_STATUS_CODE]]=2,DB_TBL_DATA_FIELDS[[#This Row],[FIELD_STATUS_CODE]]=0),
DB_TBL_DATA_FIELDS[[#This Row],[FIELD_STATUS_CODE]],
"")
)</f>
        <v>1</v>
      </c>
      <c r="AA64" s="2">
        <v>23</v>
      </c>
      <c r="AB64" s="2" t="s">
        <v>2341</v>
      </c>
    </row>
    <row r="65" spans="1:29" x14ac:dyDescent="0.3">
      <c r="A65" s="1" t="s">
        <v>2226</v>
      </c>
      <c r="B65" s="128" t="s">
        <v>2227</v>
      </c>
      <c r="C65" s="1" t="str">
        <f>IF($H$9&lt;&gt;"I",IF(DB_TBL_DATA_FIELDS[[#This Row],[SHEET_REF_WISH]]&lt;&gt;"",DB_TBL_DATA_FIELDS[[#This Row],[SHEET_REF_WISH]],""),IF(DB_TBL_DATA_FIELDS[[#This Row],[SHEET_REF_IDEA]]&lt;&gt;"",DB_TBL_DATA_FIELDS[[#This Row],[SHEET_REF_IDEA]],""))</f>
        <v>WISH</v>
      </c>
      <c r="D65" s="1" t="s">
        <v>2286</v>
      </c>
      <c r="E65" s="1" t="b">
        <v>1</v>
      </c>
      <c r="F65" s="11" t="b">
        <v>1</v>
      </c>
      <c r="G65" s="2" t="s">
        <v>2313</v>
      </c>
      <c r="H65" s="2" t="str">
        <f ca="1">IFERROR(VLOOKUP(DB_TBL_DATA_FIELDS[[#This Row],[FIELD_ID]],INDIRECT(DB_TBL_DATA_FIELDS[[#This Row],[SHEET_REF_CALC]]&amp;"!A:B"),2,FALSE),"")</f>
        <v/>
      </c>
      <c r="J65" s="2" t="b">
        <f ca="1">(DB_TBL_DATA_FIELDS[[#This Row],[FIELD_VALUE_RAW]]="")</f>
        <v>1</v>
      </c>
      <c r="K65" s="2" t="s">
        <v>42</v>
      </c>
      <c r="L65" s="1" t="b">
        <f ca="1">AND(IF(DB_TBL_DATA_FIELDS[[#This Row],[FIELD_VALID_CUSTOM_LOGIC]]="",TRUE,DB_TBL_DATA_FIELDS[[#This Row],[FIELD_VALID_CUSTOM_LOGIC]]),DB_TBL_DATA_FIELDS[[#This Row],[RANGE_VALIDATION_PASSED_FLAG]])</f>
        <v>0</v>
      </c>
      <c r="M65"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65" s="1">
        <f ca="1">IF(DB_TBL_DATA_FIELDS[[#This Row],[SHEET_REF_CALC]]="","",IF(DB_TBL_DATA_FIELDS[[#This Row],[FIELD_EMPTY_FLAG]],IF(NOT(DB_TBL_DATA_FIELDS[[#This Row],[FIELD_REQ_FLAG]]),-1,1),IF(NOT(DB_TBL_DATA_FIELDS[[#This Row],[FIELD_VALID_FLAG]]),0,2)))</f>
        <v>1</v>
      </c>
      <c r="O65" s="1" t="str">
        <f ca="1">IFERROR(VLOOKUP(DB_TBL_DATA_FIELDS[[#This Row],[FIELD_STATUS_CODE]],DB_TBL_CONFIG_FIELDSTATUSCODES[#All],3,FALSE),"")</f>
        <v>Required</v>
      </c>
      <c r="P65" s="1" t="str">
        <f ca="1">IFERROR(VLOOKUP(DB_TBL_DATA_FIELDS[[#This Row],[FIELD_STATUS_CODE]],DB_TBL_CONFIG_FIELDSTATUSCODES[#All],4,FALSE),"")</f>
        <v>i</v>
      </c>
      <c r="Q65" s="1" t="b">
        <f>TRUE</f>
        <v>1</v>
      </c>
      <c r="R65" s="1" t="b">
        <f>TRUE</f>
        <v>1</v>
      </c>
      <c r="S65" s="1" t="s">
        <v>42</v>
      </c>
      <c r="T65" s="1">
        <f ca="1">IF(DB_TBL_DATA_FIELDS[[#This Row],[RANGE_VALIDATION_FLAG]]="Text",LEN(DB_TBL_DATA_FIELDS[[#This Row],[FIELD_VALUE_RAW]]),IFERROR(VALUE(DB_TBL_DATA_FIELDS[[#This Row],[FIELD_VALUE_RAW]]),-1))</f>
        <v>-1</v>
      </c>
      <c r="U65" s="1">
        <v>0</v>
      </c>
      <c r="V65" s="1">
        <v>10</v>
      </c>
      <c r="W65" s="1" t="b">
        <f ca="1">IF(NOT(DB_TBL_DATA_FIELDS[[#This Row],[RANGE_VALIDATION_ON_FLAG]]),TRUE,
AND(DB_TBL_DATA_FIELDS[[#This Row],[RANGE_VALUE_LEN]]&gt;=DB_TBL_DATA_FIELDS[[#This Row],[RANGE_VALIDATION_MIN]],DB_TBL_DATA_FIELDS[[#This Row],[RANGE_VALUE_LEN]]&lt;=DB_TBL_DATA_FIELDS[[#This Row],[RANGE_VALIDATION_MAX]]))</f>
        <v>0</v>
      </c>
      <c r="X65" s="1">
        <v>1</v>
      </c>
      <c r="Y65" s="1">
        <f ca="1">IF(DB_TBL_DATA_FIELDS[[#This Row],[PCT_CALC_SHOW_STATUS_CODE]]=1,
DB_TBL_DATA_FIELDS[[#This Row],[FIELD_STATUS_CODE]],
IF(AND(DB_TBL_DATA_FIELDS[[#This Row],[PCT_CALC_SHOW_STATUS_CODE]]=2,DB_TBL_DATA_FIELDS[[#This Row],[FIELD_STATUS_CODE]]=0),
DB_TBL_DATA_FIELDS[[#This Row],[FIELD_STATUS_CODE]],
"")
)</f>
        <v>1</v>
      </c>
      <c r="AA65" s="2">
        <v>24</v>
      </c>
      <c r="AB65" s="2" t="s">
        <v>2341</v>
      </c>
    </row>
    <row r="66" spans="1:29" x14ac:dyDescent="0.3">
      <c r="A66" s="1" t="s">
        <v>2226</v>
      </c>
      <c r="B66" s="128" t="s">
        <v>2227</v>
      </c>
      <c r="C66" s="1" t="str">
        <f>IF($H$9&lt;&gt;"I",IF(DB_TBL_DATA_FIELDS[[#This Row],[SHEET_REF_WISH]]&lt;&gt;"",DB_TBL_DATA_FIELDS[[#This Row],[SHEET_REF_WISH]],""),IF(DB_TBL_DATA_FIELDS[[#This Row],[SHEET_REF_IDEA]]&lt;&gt;"",DB_TBL_DATA_FIELDS[[#This Row],[SHEET_REF_IDEA]],""))</f>
        <v>WISH</v>
      </c>
      <c r="D66" s="1" t="s">
        <v>2287</v>
      </c>
      <c r="E66" s="1" t="b">
        <v>1</v>
      </c>
      <c r="F66" s="11" t="b">
        <v>1</v>
      </c>
      <c r="G66" s="2" t="s">
        <v>2314</v>
      </c>
      <c r="H66" s="2" t="str">
        <f ca="1">IFERROR(VLOOKUP(DB_TBL_DATA_FIELDS[[#This Row],[FIELD_ID]],INDIRECT(DB_TBL_DATA_FIELDS[[#This Row],[SHEET_REF_CALC]]&amp;"!A:B"),2,FALSE),"")</f>
        <v/>
      </c>
      <c r="J66" s="2" t="b">
        <f ca="1">(DB_TBL_DATA_FIELDS[[#This Row],[FIELD_VALUE_RAW]]="")</f>
        <v>1</v>
      </c>
      <c r="K66" s="2" t="s">
        <v>42</v>
      </c>
      <c r="L66" s="1" t="b">
        <f ca="1">AND(IF(DB_TBL_DATA_FIELDS[[#This Row],[FIELD_VALID_CUSTOM_LOGIC]]="",TRUE,DB_TBL_DATA_FIELDS[[#This Row],[FIELD_VALID_CUSTOM_LOGIC]]),DB_TBL_DATA_FIELDS[[#This Row],[RANGE_VALIDATION_PASSED_FLAG]])</f>
        <v>0</v>
      </c>
      <c r="M66"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66" s="1">
        <f ca="1">IF(DB_TBL_DATA_FIELDS[[#This Row],[SHEET_REF_CALC]]="","",IF(DB_TBL_DATA_FIELDS[[#This Row],[FIELD_EMPTY_FLAG]],IF(NOT(DB_TBL_DATA_FIELDS[[#This Row],[FIELD_REQ_FLAG]]),-1,1),IF(NOT(DB_TBL_DATA_FIELDS[[#This Row],[FIELD_VALID_FLAG]]),0,2)))</f>
        <v>1</v>
      </c>
      <c r="O66" s="1" t="str">
        <f ca="1">IFERROR(VLOOKUP(DB_TBL_DATA_FIELDS[[#This Row],[FIELD_STATUS_CODE]],DB_TBL_CONFIG_FIELDSTATUSCODES[#All],3,FALSE),"")</f>
        <v>Required</v>
      </c>
      <c r="P66" s="1" t="str">
        <f ca="1">IFERROR(VLOOKUP(DB_TBL_DATA_FIELDS[[#This Row],[FIELD_STATUS_CODE]],DB_TBL_CONFIG_FIELDSTATUSCODES[#All],4,FALSE),"")</f>
        <v>i</v>
      </c>
      <c r="Q66" s="1" t="b">
        <f>TRUE</f>
        <v>1</v>
      </c>
      <c r="R66" s="1" t="b">
        <f>TRUE</f>
        <v>1</v>
      </c>
      <c r="S66" s="1" t="s">
        <v>42</v>
      </c>
      <c r="T66" s="1">
        <f ca="1">IF(DB_TBL_DATA_FIELDS[[#This Row],[RANGE_VALIDATION_FLAG]]="Text",LEN(DB_TBL_DATA_FIELDS[[#This Row],[FIELD_VALUE_RAW]]),IFERROR(VALUE(DB_TBL_DATA_FIELDS[[#This Row],[FIELD_VALUE_RAW]]),-1))</f>
        <v>-1</v>
      </c>
      <c r="U66" s="1">
        <v>0</v>
      </c>
      <c r="V66" s="1">
        <v>10</v>
      </c>
      <c r="W66" s="1" t="b">
        <f ca="1">IF(NOT(DB_TBL_DATA_FIELDS[[#This Row],[RANGE_VALIDATION_ON_FLAG]]),TRUE,
AND(DB_TBL_DATA_FIELDS[[#This Row],[RANGE_VALUE_LEN]]&gt;=DB_TBL_DATA_FIELDS[[#This Row],[RANGE_VALIDATION_MIN]],DB_TBL_DATA_FIELDS[[#This Row],[RANGE_VALUE_LEN]]&lt;=DB_TBL_DATA_FIELDS[[#This Row],[RANGE_VALIDATION_MAX]]))</f>
        <v>0</v>
      </c>
      <c r="X66" s="1">
        <v>1</v>
      </c>
      <c r="Y66" s="1">
        <f ca="1">IF(DB_TBL_DATA_FIELDS[[#This Row],[PCT_CALC_SHOW_STATUS_CODE]]=1,
DB_TBL_DATA_FIELDS[[#This Row],[FIELD_STATUS_CODE]],
IF(AND(DB_TBL_DATA_FIELDS[[#This Row],[PCT_CALC_SHOW_STATUS_CODE]]=2,DB_TBL_DATA_FIELDS[[#This Row],[FIELD_STATUS_CODE]]=0),
DB_TBL_DATA_FIELDS[[#This Row],[FIELD_STATUS_CODE]],
"")
)</f>
        <v>1</v>
      </c>
      <c r="AA66" s="2">
        <v>25</v>
      </c>
      <c r="AB66" s="2" t="s">
        <v>2341</v>
      </c>
    </row>
    <row r="67" spans="1:29" x14ac:dyDescent="0.3">
      <c r="A67" s="128"/>
      <c r="B67" s="128"/>
      <c r="C67" s="128" t="str">
        <f>IF($H$9&lt;&gt;"I",IF(DB_TBL_DATA_FIELDS[[#This Row],[SHEET_REF_WISH]]&lt;&gt;"",DB_TBL_DATA_FIELDS[[#This Row],[SHEET_REF_WISH]],""),IF(DB_TBL_DATA_FIELDS[[#This Row],[SHEET_REF_IDEA]]&lt;&gt;"",DB_TBL_DATA_FIELDS[[#This Row],[SHEET_REF_IDEA]],""))</f>
        <v/>
      </c>
      <c r="D67" s="128" t="s">
        <v>2431</v>
      </c>
      <c r="E67" s="1" t="b">
        <v>0</v>
      </c>
      <c r="F67" s="130" t="b">
        <v>0</v>
      </c>
      <c r="G67" s="129" t="s">
        <v>2432</v>
      </c>
      <c r="H67" s="131" t="str">
        <f ca="1">IFERROR(VLOOKUP(DB_TBL_DATA_FIELDS[[#This Row],[FIELD_ID]],INDIRECT(DB_TBL_DATA_FIELDS[[#This Row],[SHEET_REF_CALC]]&amp;"!A:B"),2,FALSE),"")</f>
        <v/>
      </c>
      <c r="I67" s="14" t="str">
        <f ca="1">IF(NOT(DB_TBL_DATA_FIELDS[[#This Row],[FIELD_EMPTY_FLAG]]),DB_TBL_DATA_FIELDS[[#This Row],[FIELD_REQ_FLAG]],"")</f>
        <v/>
      </c>
      <c r="J67" s="103" t="b">
        <f ca="1">(DB_TBL_DATA_FIELDS[[#This Row],[FIELD_VALUE_RAW]]="")</f>
        <v>1</v>
      </c>
      <c r="K67" s="103" t="s">
        <v>11</v>
      </c>
      <c r="L67" s="101" t="b">
        <f ca="1">AND(IF(DB_TBL_DATA_FIELDS[[#This Row],[FIELD_VALID_CUSTOM_LOGIC]]="",TRUE,DB_TBL_DATA_FIELDS[[#This Row],[FIELD_VALID_CUSTOM_LOGIC]]),DB_TBL_DATA_FIELDS[[#This Row],[RANGE_VALIDATION_PASSED_FLAG]])</f>
        <v>1</v>
      </c>
      <c r="M67" s="10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67" s="101" t="str">
        <f>IF(DB_TBL_DATA_FIELDS[[#This Row],[SHEET_REF_CALC]]="","",IF(DB_TBL_DATA_FIELDS[[#This Row],[FIELD_EMPTY_FLAG]],IF(NOT(DB_TBL_DATA_FIELDS[[#This Row],[FIELD_REQ_FLAG]]),-1,1),IF(NOT(DB_TBL_DATA_FIELDS[[#This Row],[FIELD_VALID_FLAG]]),0,2)))</f>
        <v/>
      </c>
      <c r="O67" s="101" t="str">
        <f>IFERROR(VLOOKUP(DB_TBL_DATA_FIELDS[[#This Row],[FIELD_STATUS_CODE]],DB_TBL_CONFIG_FIELDSTATUSCODES[#All],3,FALSE),"")</f>
        <v/>
      </c>
      <c r="P67" s="101" t="str">
        <f>IFERROR(VLOOKUP(DB_TBL_DATA_FIELDS[[#This Row],[FIELD_STATUS_CODE]],DB_TBL_CONFIG_FIELDSTATUSCODES[#All],4,FALSE),"")</f>
        <v/>
      </c>
      <c r="Q67" s="101" t="b">
        <f>TRUE</f>
        <v>1</v>
      </c>
      <c r="R67" s="101" t="b">
        <f>TRUE</f>
        <v>1</v>
      </c>
      <c r="S67" s="101" t="s">
        <v>11</v>
      </c>
      <c r="T67" s="101">
        <f ca="1">IF(DB_TBL_DATA_FIELDS[[#This Row],[RANGE_VALIDATION_FLAG]]="Text",LEN(DB_TBL_DATA_FIELDS[[#This Row],[FIELD_VALUE_RAW]]),IFERROR(VALUE(DB_TBL_DATA_FIELDS[[#This Row],[FIELD_VALUE_RAW]]),-1))</f>
        <v>0</v>
      </c>
      <c r="U67" s="101">
        <v>0</v>
      </c>
      <c r="V67" s="101">
        <v>50</v>
      </c>
      <c r="W67" s="101" t="b">
        <f ca="1">IF(NOT(DB_TBL_DATA_FIELDS[[#This Row],[RANGE_VALIDATION_ON_FLAG]]),TRUE,
AND(DB_TBL_DATA_FIELDS[[#This Row],[RANGE_VALUE_LEN]]&gt;=DB_TBL_DATA_FIELDS[[#This Row],[RANGE_VALIDATION_MIN]],DB_TBL_DATA_FIELDS[[#This Row],[RANGE_VALUE_LEN]]&lt;=DB_TBL_DATA_FIELDS[[#This Row],[RANGE_VALIDATION_MAX]]))</f>
        <v>1</v>
      </c>
      <c r="X67" s="101">
        <v>1</v>
      </c>
      <c r="Y67" s="101" t="str">
        <f>IF(DB_TBL_DATA_FIELDS[[#This Row],[PCT_CALC_SHOW_STATUS_CODE]]=1,
DB_TBL_DATA_FIELDS[[#This Row],[FIELD_STATUS_CODE]],
IF(AND(DB_TBL_DATA_FIELDS[[#This Row],[PCT_CALC_SHOW_STATUS_CODE]]=2,DB_TBL_DATA_FIELDS[[#This Row],[FIELD_STATUS_CODE]]=0),
DB_TBL_DATA_FIELDS[[#This Row],[FIELD_STATUS_CODE]],
"")
)</f>
        <v/>
      </c>
      <c r="Z67" s="101"/>
      <c r="AA67" s="103" t="s">
        <v>2439</v>
      </c>
      <c r="AB67" s="2" t="s">
        <v>2341</v>
      </c>
      <c r="AC67" s="101" t="s">
        <v>2440</v>
      </c>
    </row>
    <row r="68" spans="1:29" x14ac:dyDescent="0.3">
      <c r="A68" s="128"/>
      <c r="B68" s="128"/>
      <c r="C68" s="128" t="str">
        <f>IF($H$9&lt;&gt;"I",IF(DB_TBL_DATA_FIELDS[[#This Row],[SHEET_REF_WISH]]&lt;&gt;"",DB_TBL_DATA_FIELDS[[#This Row],[SHEET_REF_WISH]],""),IF(DB_TBL_DATA_FIELDS[[#This Row],[SHEET_REF_IDEA]]&lt;&gt;"",DB_TBL_DATA_FIELDS[[#This Row],[SHEET_REF_IDEA]],""))</f>
        <v/>
      </c>
      <c r="D68" s="128" t="s">
        <v>2433</v>
      </c>
      <c r="E68" s="1" t="b">
        <v>0</v>
      </c>
      <c r="F68" s="130" t="b">
        <v>0</v>
      </c>
      <c r="G68" s="129" t="s">
        <v>2438</v>
      </c>
      <c r="H68" s="131" t="str">
        <f ca="1">IFERROR(VLOOKUP(DB_TBL_DATA_FIELDS[[#This Row],[FIELD_ID]],INDIRECT(DB_TBL_DATA_FIELDS[[#This Row],[SHEET_REF_CALC]]&amp;"!A:B"),2,FALSE),"")</f>
        <v/>
      </c>
      <c r="I68" s="14" t="str">
        <f ca="1">IF(NOT(DB_TBL_DATA_FIELDS[[#This Row],[FIELD_EMPTY_FLAG]]),DB_TBL_DATA_FIELDS[[#This Row],[FIELD_REQ_FLAG]],"")</f>
        <v/>
      </c>
      <c r="J68" s="103" t="b">
        <f ca="1">(DB_TBL_DATA_FIELDS[[#This Row],[FIELD_VALUE_RAW]]="")</f>
        <v>1</v>
      </c>
      <c r="K68" s="103" t="s">
        <v>11</v>
      </c>
      <c r="L68" s="101" t="b">
        <f ca="1">AND(IF(DB_TBL_DATA_FIELDS[[#This Row],[FIELD_VALID_CUSTOM_LOGIC]]="",TRUE,DB_TBL_DATA_FIELDS[[#This Row],[FIELD_VALID_CUSTOM_LOGIC]]),DB_TBL_DATA_FIELDS[[#This Row],[RANGE_VALIDATION_PASSED_FLAG]])</f>
        <v>1</v>
      </c>
      <c r="M68" s="10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68" s="101" t="str">
        <f>IF(DB_TBL_DATA_FIELDS[[#This Row],[SHEET_REF_CALC]]="","",IF(DB_TBL_DATA_FIELDS[[#This Row],[FIELD_EMPTY_FLAG]],IF(NOT(DB_TBL_DATA_FIELDS[[#This Row],[FIELD_REQ_FLAG]]),-1,1),IF(NOT(DB_TBL_DATA_FIELDS[[#This Row],[FIELD_VALID_FLAG]]),0,2)))</f>
        <v/>
      </c>
      <c r="O68" s="101" t="str">
        <f>IFERROR(VLOOKUP(DB_TBL_DATA_FIELDS[[#This Row],[FIELD_STATUS_CODE]],DB_TBL_CONFIG_FIELDSTATUSCODES[#All],3,FALSE),"")</f>
        <v/>
      </c>
      <c r="P68" s="101" t="str">
        <f>IFERROR(VLOOKUP(DB_TBL_DATA_FIELDS[[#This Row],[FIELD_STATUS_CODE]],DB_TBL_CONFIG_FIELDSTATUSCODES[#All],4,FALSE),"")</f>
        <v/>
      </c>
      <c r="Q68" s="101" t="b">
        <f>TRUE</f>
        <v>1</v>
      </c>
      <c r="R68" s="101" t="b">
        <f>TRUE</f>
        <v>1</v>
      </c>
      <c r="S68" s="101" t="s">
        <v>11</v>
      </c>
      <c r="T68" s="101">
        <f ca="1">IF(DB_TBL_DATA_FIELDS[[#This Row],[RANGE_VALIDATION_FLAG]]="Text",LEN(DB_TBL_DATA_FIELDS[[#This Row],[FIELD_VALUE_RAW]]),IFERROR(VALUE(DB_TBL_DATA_FIELDS[[#This Row],[FIELD_VALUE_RAW]]),-1))</f>
        <v>0</v>
      </c>
      <c r="U68" s="101">
        <v>0</v>
      </c>
      <c r="V68" s="101">
        <v>400</v>
      </c>
      <c r="W68" s="101" t="b">
        <f ca="1">IF(NOT(DB_TBL_DATA_FIELDS[[#This Row],[RANGE_VALIDATION_ON_FLAG]]),TRUE,
AND(DB_TBL_DATA_FIELDS[[#This Row],[RANGE_VALUE_LEN]]&gt;=DB_TBL_DATA_FIELDS[[#This Row],[RANGE_VALIDATION_MIN]],DB_TBL_DATA_FIELDS[[#This Row],[RANGE_VALUE_LEN]]&lt;=DB_TBL_DATA_FIELDS[[#This Row],[RANGE_VALIDATION_MAX]]))</f>
        <v>1</v>
      </c>
      <c r="X68" s="101">
        <v>1</v>
      </c>
      <c r="Y68" s="101" t="str">
        <f>IF(DB_TBL_DATA_FIELDS[[#This Row],[PCT_CALC_SHOW_STATUS_CODE]]=1,
DB_TBL_DATA_FIELDS[[#This Row],[FIELD_STATUS_CODE]],
IF(AND(DB_TBL_DATA_FIELDS[[#This Row],[PCT_CALC_SHOW_STATUS_CODE]]=2,DB_TBL_DATA_FIELDS[[#This Row],[FIELD_STATUS_CODE]]=0),
DB_TBL_DATA_FIELDS[[#This Row],[FIELD_STATUS_CODE]],
"")
)</f>
        <v/>
      </c>
      <c r="Z68" s="101"/>
      <c r="AA68" s="103" t="s">
        <v>2439</v>
      </c>
      <c r="AB68" s="2" t="s">
        <v>2341</v>
      </c>
      <c r="AC68" s="101" t="s">
        <v>2441</v>
      </c>
    </row>
    <row r="69" spans="1:29" x14ac:dyDescent="0.3">
      <c r="A69" s="1" t="s">
        <v>2226</v>
      </c>
      <c r="B69" s="128" t="s">
        <v>2227</v>
      </c>
      <c r="C69" s="1" t="str">
        <f>IF($H$9&lt;&gt;"I",IF(DB_TBL_DATA_FIELDS[[#This Row],[SHEET_REF_WISH]]&lt;&gt;"",DB_TBL_DATA_FIELDS[[#This Row],[SHEET_REF_WISH]],""),IF(DB_TBL_DATA_FIELDS[[#This Row],[SHEET_REF_IDEA]]&lt;&gt;"",DB_TBL_DATA_FIELDS[[#This Row],[SHEET_REF_IDEA]],""))</f>
        <v>WISH</v>
      </c>
      <c r="D69" s="1" t="s">
        <v>2288</v>
      </c>
      <c r="E69" s="1" t="b">
        <v>1</v>
      </c>
      <c r="F69" s="11" t="b">
        <v>0</v>
      </c>
      <c r="G69" s="2" t="s">
        <v>2315</v>
      </c>
      <c r="H69" s="14" t="str">
        <f>IF(NOT(F67),"",IF(H67=FIRST_MORTGAGE_EXPLANATION_OTHER,H68,H67))</f>
        <v/>
      </c>
      <c r="J69" s="2" t="b">
        <f>(DB_TBL_DATA_FIELDS[[#This Row],[FIELD_VALUE_RAW]]="")</f>
        <v>1</v>
      </c>
      <c r="K69" s="2" t="s">
        <v>11</v>
      </c>
      <c r="L69" s="1" t="b">
        <f>AND(IF(DB_TBL_DATA_FIELDS[[#This Row],[FIELD_VALID_CUSTOM_LOGIC]]="",TRUE,DB_TBL_DATA_FIELDS[[#This Row],[FIELD_VALID_CUSTOM_LOGIC]]),DB_TBL_DATA_FIELDS[[#This Row],[RANGE_VALIDATION_PASSED_FLAG]])</f>
        <v>1</v>
      </c>
      <c r="M69" s="2" t="str">
        <f>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69" s="1">
        <f>IF(DB_TBL_DATA_FIELDS[[#This Row],[SHEET_REF_CALC]]="","",IF(DB_TBL_DATA_FIELDS[[#This Row],[FIELD_EMPTY_FLAG]],IF(NOT(DB_TBL_DATA_FIELDS[[#This Row],[FIELD_REQ_FLAG]]),-1,1),IF(NOT(DB_TBL_DATA_FIELDS[[#This Row],[FIELD_VALID_FLAG]]),0,2)))</f>
        <v>-1</v>
      </c>
      <c r="O69" s="1" t="str">
        <f>IFERROR(VLOOKUP(DB_TBL_DATA_FIELDS[[#This Row],[FIELD_STATUS_CODE]],DB_TBL_CONFIG_FIELDSTATUSCODES[#All],3,FALSE),"")</f>
        <v>Optional</v>
      </c>
      <c r="P69" s="1" t="str">
        <f>IFERROR(VLOOKUP(DB_TBL_DATA_FIELDS[[#This Row],[FIELD_STATUS_CODE]],DB_TBL_CONFIG_FIELDSTATUSCODES[#All],4,FALSE),"")</f>
        <v xml:space="preserve"> </v>
      </c>
      <c r="Q69" s="1" t="b">
        <f>TRUE</f>
        <v>1</v>
      </c>
      <c r="R69" s="1" t="b">
        <f>TRUE</f>
        <v>1</v>
      </c>
      <c r="S69" s="1" t="s">
        <v>11</v>
      </c>
      <c r="T69" s="1">
        <f>IF(DB_TBL_DATA_FIELDS[[#This Row],[RANGE_VALIDATION_FLAG]]="Text",LEN(DB_TBL_DATA_FIELDS[[#This Row],[FIELD_VALUE_RAW]]),IFERROR(VALUE(DB_TBL_DATA_FIELDS[[#This Row],[FIELD_VALUE_RAW]]),-1))</f>
        <v>0</v>
      </c>
      <c r="U69" s="1">
        <v>0</v>
      </c>
      <c r="V69" s="1">
        <v>400</v>
      </c>
      <c r="W69" s="1" t="b">
        <f>IF(NOT(DB_TBL_DATA_FIELDS[[#This Row],[RANGE_VALIDATION_ON_FLAG]]),TRUE,
AND(DB_TBL_DATA_FIELDS[[#This Row],[RANGE_VALUE_LEN]]&gt;=DB_TBL_DATA_FIELDS[[#This Row],[RANGE_VALIDATION_MIN]],DB_TBL_DATA_FIELDS[[#This Row],[RANGE_VALUE_LEN]]&lt;=DB_TBL_DATA_FIELDS[[#This Row],[RANGE_VALIDATION_MAX]]))</f>
        <v>1</v>
      </c>
      <c r="X69" s="1">
        <v>1</v>
      </c>
      <c r="Y69" s="1">
        <f>IF(DB_TBL_DATA_FIELDS[[#This Row],[PCT_CALC_SHOW_STATUS_CODE]]=1,
DB_TBL_DATA_FIELDS[[#This Row],[FIELD_STATUS_CODE]],
IF(AND(DB_TBL_DATA_FIELDS[[#This Row],[PCT_CALC_SHOW_STATUS_CODE]]=2,DB_TBL_DATA_FIELDS[[#This Row],[FIELD_STATUS_CODE]]=0),
DB_TBL_DATA_FIELDS[[#This Row],[FIELD_STATUS_CODE]],
"")
)</f>
        <v>-1</v>
      </c>
      <c r="AA69" s="2">
        <v>26</v>
      </c>
      <c r="AB69" s="2" t="s">
        <v>2341</v>
      </c>
    </row>
    <row r="70" spans="1:29" x14ac:dyDescent="0.3">
      <c r="A70" s="1" t="s">
        <v>2226</v>
      </c>
      <c r="B70" s="128" t="s">
        <v>2227</v>
      </c>
      <c r="C70" s="1" t="str">
        <f>IF($H$9&lt;&gt;"I",IF(DB_TBL_DATA_FIELDS[[#This Row],[SHEET_REF_WISH]]&lt;&gt;"",DB_TBL_DATA_FIELDS[[#This Row],[SHEET_REF_WISH]],""),IF(DB_TBL_DATA_FIELDS[[#This Row],[SHEET_REF_IDEA]]&lt;&gt;"",DB_TBL_DATA_FIELDS[[#This Row],[SHEET_REF_IDEA]],""))</f>
        <v>WISH</v>
      </c>
      <c r="D70" s="1" t="s">
        <v>2289</v>
      </c>
      <c r="E70" s="1" t="b">
        <v>1</v>
      </c>
      <c r="F70" s="11" t="b">
        <v>1</v>
      </c>
      <c r="G70" s="2" t="s">
        <v>2316</v>
      </c>
      <c r="H70" s="2" t="str">
        <f ca="1">IFERROR(VLOOKUP(DB_TBL_DATA_FIELDS[[#This Row],[FIELD_ID]],INDIRECT(DB_TBL_DATA_FIELDS[[#This Row],[SHEET_REF_CALC]]&amp;"!A:B"),2,FALSE),"")</f>
        <v/>
      </c>
      <c r="J70" s="2" t="b">
        <f ca="1">(DB_TBL_DATA_FIELDS[[#This Row],[FIELD_VALUE_RAW]]="")</f>
        <v>1</v>
      </c>
      <c r="K70" s="2" t="s">
        <v>11</v>
      </c>
      <c r="L70" s="1" t="b">
        <f ca="1">AND(IF(DB_TBL_DATA_FIELDS[[#This Row],[FIELD_VALID_CUSTOM_LOGIC]]="",TRUE,DB_TBL_DATA_FIELDS[[#This Row],[FIELD_VALID_CUSTOM_LOGIC]]),DB_TBL_DATA_FIELDS[[#This Row],[RANGE_VALIDATION_PASSED_FLAG]])</f>
        <v>1</v>
      </c>
      <c r="M70"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70" s="1">
        <f ca="1">IF(DB_TBL_DATA_FIELDS[[#This Row],[SHEET_REF_CALC]]="","",IF(DB_TBL_DATA_FIELDS[[#This Row],[FIELD_EMPTY_FLAG]],IF(NOT(DB_TBL_DATA_FIELDS[[#This Row],[FIELD_REQ_FLAG]]),-1,1),IF(NOT(DB_TBL_DATA_FIELDS[[#This Row],[FIELD_VALID_FLAG]]),0,2)))</f>
        <v>1</v>
      </c>
      <c r="O70" s="1" t="str">
        <f ca="1">IFERROR(VLOOKUP(DB_TBL_DATA_FIELDS[[#This Row],[FIELD_STATUS_CODE]],DB_TBL_CONFIG_FIELDSTATUSCODES[#All],3,FALSE),"")</f>
        <v>Required</v>
      </c>
      <c r="P70" s="1" t="str">
        <f ca="1">IFERROR(VLOOKUP(DB_TBL_DATA_FIELDS[[#This Row],[FIELD_STATUS_CODE]],DB_TBL_CONFIG_FIELDSTATUSCODES[#All],4,FALSE),"")</f>
        <v>i</v>
      </c>
      <c r="Q70" s="1" t="b">
        <f>TRUE</f>
        <v>1</v>
      </c>
      <c r="R70" s="1" t="b">
        <f>TRUE</f>
        <v>1</v>
      </c>
      <c r="S70" s="1" t="s">
        <v>11</v>
      </c>
      <c r="T70" s="1">
        <f ca="1">IF(DB_TBL_DATA_FIELDS[[#This Row],[RANGE_VALIDATION_FLAG]]="Text",LEN(DB_TBL_DATA_FIELDS[[#This Row],[FIELD_VALUE_RAW]]),IFERROR(VALUE(DB_TBL_DATA_FIELDS[[#This Row],[FIELD_VALUE_RAW]]),-1))</f>
        <v>0</v>
      </c>
      <c r="U70" s="1">
        <v>0</v>
      </c>
      <c r="V70" s="1">
        <v>50</v>
      </c>
      <c r="W70" s="1" t="b">
        <f ca="1">IF(NOT(DB_TBL_DATA_FIELDS[[#This Row],[RANGE_VALIDATION_ON_FLAG]]),TRUE,
AND(DB_TBL_DATA_FIELDS[[#This Row],[RANGE_VALUE_LEN]]&gt;=DB_TBL_DATA_FIELDS[[#This Row],[RANGE_VALIDATION_MIN]],DB_TBL_DATA_FIELDS[[#This Row],[RANGE_VALUE_LEN]]&lt;=DB_TBL_DATA_FIELDS[[#This Row],[RANGE_VALIDATION_MAX]]))</f>
        <v>1</v>
      </c>
      <c r="X70" s="1">
        <v>1</v>
      </c>
      <c r="Y70" s="1">
        <f ca="1">IF(DB_TBL_DATA_FIELDS[[#This Row],[PCT_CALC_SHOW_STATUS_CODE]]=1,
DB_TBL_DATA_FIELDS[[#This Row],[FIELD_STATUS_CODE]],
IF(AND(DB_TBL_DATA_FIELDS[[#This Row],[PCT_CALC_SHOW_STATUS_CODE]]=2,DB_TBL_DATA_FIELDS[[#This Row],[FIELD_STATUS_CODE]]=0),
DB_TBL_DATA_FIELDS[[#This Row],[FIELD_STATUS_CODE]],
"")
)</f>
        <v>1</v>
      </c>
      <c r="AA70" s="2">
        <v>27</v>
      </c>
      <c r="AB70" s="2" t="s">
        <v>2341</v>
      </c>
    </row>
    <row r="71" spans="1:29" x14ac:dyDescent="0.3">
      <c r="A71" s="1" t="s">
        <v>2226</v>
      </c>
      <c r="B71" s="128" t="s">
        <v>2227</v>
      </c>
      <c r="C71" s="1" t="str">
        <f>IF($H$9&lt;&gt;"I",IF(DB_TBL_DATA_FIELDS[[#This Row],[SHEET_REF_WISH]]&lt;&gt;"",DB_TBL_DATA_FIELDS[[#This Row],[SHEET_REF_WISH]],""),IF(DB_TBL_DATA_FIELDS[[#This Row],[SHEET_REF_IDEA]]&lt;&gt;"",DB_TBL_DATA_FIELDS[[#This Row],[SHEET_REF_IDEA]],""))</f>
        <v>WISH</v>
      </c>
      <c r="D71" s="1" t="s">
        <v>2290</v>
      </c>
      <c r="E71" s="1" t="b">
        <v>1</v>
      </c>
      <c r="F71" s="11" t="b">
        <v>1</v>
      </c>
      <c r="G71" s="2" t="s">
        <v>2317</v>
      </c>
      <c r="H71" s="2" t="str">
        <f ca="1">IFERROR(VLOOKUP(DB_TBL_DATA_FIELDS[[#This Row],[FIELD_ID]],INDIRECT(DB_TBL_DATA_FIELDS[[#This Row],[SHEET_REF_CALC]]&amp;"!A:B"),2,FALSE),"")</f>
        <v/>
      </c>
      <c r="J71" s="2" t="b">
        <f ca="1">(DB_TBL_DATA_FIELDS[[#This Row],[FIELD_VALUE_RAW]]="")</f>
        <v>1</v>
      </c>
      <c r="K71" s="2" t="s">
        <v>42</v>
      </c>
      <c r="L71" s="1" t="b">
        <f ca="1">AND(IF(DB_TBL_DATA_FIELDS[[#This Row],[FIELD_VALID_CUSTOM_LOGIC]]="",TRUE,DB_TBL_DATA_FIELDS[[#This Row],[FIELD_VALID_CUSTOM_LOGIC]]),DB_TBL_DATA_FIELDS[[#This Row],[RANGE_VALIDATION_PASSED_FLAG]])</f>
        <v>0</v>
      </c>
      <c r="M71"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71" s="1">
        <f ca="1">IF(DB_TBL_DATA_FIELDS[[#This Row],[SHEET_REF_CALC]]="","",IF(DB_TBL_DATA_FIELDS[[#This Row],[FIELD_EMPTY_FLAG]],IF(NOT(DB_TBL_DATA_FIELDS[[#This Row],[FIELD_REQ_FLAG]]),-1,1),IF(NOT(DB_TBL_DATA_FIELDS[[#This Row],[FIELD_VALID_FLAG]]),0,2)))</f>
        <v>1</v>
      </c>
      <c r="O71" s="1" t="str">
        <f ca="1">IFERROR(VLOOKUP(DB_TBL_DATA_FIELDS[[#This Row],[FIELD_STATUS_CODE]],DB_TBL_CONFIG_FIELDSTATUSCODES[#All],3,FALSE),"")</f>
        <v>Required</v>
      </c>
      <c r="P71" s="1" t="str">
        <f ca="1">IFERROR(VLOOKUP(DB_TBL_DATA_FIELDS[[#This Row],[FIELD_STATUS_CODE]],DB_TBL_CONFIG_FIELDSTATUSCODES[#All],4,FALSE),"")</f>
        <v>i</v>
      </c>
      <c r="Q71" s="1" t="b">
        <f>TRUE</f>
        <v>1</v>
      </c>
      <c r="R71" s="1" t="b">
        <f>TRUE</f>
        <v>1</v>
      </c>
      <c r="S71" s="1" t="s">
        <v>42</v>
      </c>
      <c r="T71" s="1">
        <f ca="1">IF(DB_TBL_DATA_FIELDS[[#This Row],[RANGE_VALIDATION_FLAG]]="Text",LEN(DB_TBL_DATA_FIELDS[[#This Row],[FIELD_VALUE_RAW]]),IFERROR(VALUE(DB_TBL_DATA_FIELDS[[#This Row],[FIELD_VALUE_RAW]]),-1))</f>
        <v>-1</v>
      </c>
      <c r="U71" s="1">
        <v>1</v>
      </c>
      <c r="V71" s="1">
        <v>999</v>
      </c>
      <c r="W71" s="1" t="b">
        <f ca="1">IF(NOT(DB_TBL_DATA_FIELDS[[#This Row],[RANGE_VALIDATION_ON_FLAG]]),TRUE,
AND(DB_TBL_DATA_FIELDS[[#This Row],[RANGE_VALUE_LEN]]&gt;=DB_TBL_DATA_FIELDS[[#This Row],[RANGE_VALIDATION_MIN]],DB_TBL_DATA_FIELDS[[#This Row],[RANGE_VALUE_LEN]]&lt;=DB_TBL_DATA_FIELDS[[#This Row],[RANGE_VALIDATION_MAX]]))</f>
        <v>0</v>
      </c>
      <c r="X71" s="1">
        <v>1</v>
      </c>
      <c r="Y71" s="1">
        <f ca="1">IF(DB_TBL_DATA_FIELDS[[#This Row],[PCT_CALC_SHOW_STATUS_CODE]]=1,
DB_TBL_DATA_FIELDS[[#This Row],[FIELD_STATUS_CODE]],
IF(AND(DB_TBL_DATA_FIELDS[[#This Row],[PCT_CALC_SHOW_STATUS_CODE]]=2,DB_TBL_DATA_FIELDS[[#This Row],[FIELD_STATUS_CODE]]=0),
DB_TBL_DATA_FIELDS[[#This Row],[FIELD_STATUS_CODE]],
"")
)</f>
        <v>1</v>
      </c>
      <c r="AA71" s="2">
        <v>28</v>
      </c>
      <c r="AB71" s="2" t="s">
        <v>2341</v>
      </c>
    </row>
    <row r="72" spans="1:29" x14ac:dyDescent="0.3">
      <c r="A72" s="128"/>
      <c r="B72" s="128"/>
      <c r="C72" s="128" t="str">
        <f>IF($H$9&lt;&gt;"I",IF(DB_TBL_DATA_FIELDS[[#This Row],[SHEET_REF_WISH]]&lt;&gt;"",DB_TBL_DATA_FIELDS[[#This Row],[SHEET_REF_WISH]],""),IF(DB_TBL_DATA_FIELDS[[#This Row],[SHEET_REF_IDEA]]&lt;&gt;"",DB_TBL_DATA_FIELDS[[#This Row],[SHEET_REF_IDEA]],""))</f>
        <v/>
      </c>
      <c r="D72" s="128" t="s">
        <v>2291</v>
      </c>
      <c r="E72" s="1" t="b">
        <v>1</v>
      </c>
      <c r="F72" s="130" t="b">
        <v>0</v>
      </c>
      <c r="G72" s="129" t="s">
        <v>2319</v>
      </c>
      <c r="H72" s="131" t="str">
        <f>""</f>
        <v/>
      </c>
      <c r="J72" s="2" t="b">
        <f>(DB_TBL_DATA_FIELDS[[#This Row],[FIELD_VALUE_RAW]]="")</f>
        <v>1</v>
      </c>
      <c r="K72" s="2" t="s">
        <v>144</v>
      </c>
      <c r="L72" s="1" t="b">
        <f>AND(IF(DB_TBL_DATA_FIELDS[[#This Row],[FIELD_VALID_CUSTOM_LOGIC]]="",TRUE,DB_TBL_DATA_FIELDS[[#This Row],[FIELD_VALID_CUSTOM_LOGIC]]),DB_TBL_DATA_FIELDS[[#This Row],[RANGE_VALIDATION_PASSED_FLAG]])</f>
        <v>1</v>
      </c>
      <c r="M72" s="2" t="str">
        <f>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72" s="1" t="str">
        <f>IF(DB_TBL_DATA_FIELDS[[#This Row],[SHEET_REF_CALC]]="","",IF(DB_TBL_DATA_FIELDS[[#This Row],[FIELD_EMPTY_FLAG]],IF(NOT(DB_TBL_DATA_FIELDS[[#This Row],[FIELD_REQ_FLAG]]),-1,1),IF(NOT(DB_TBL_DATA_FIELDS[[#This Row],[FIELD_VALID_FLAG]]),0,2)))</f>
        <v/>
      </c>
      <c r="O72" s="1" t="str">
        <f>IFERROR(VLOOKUP(DB_TBL_DATA_FIELDS[[#This Row],[FIELD_STATUS_CODE]],DB_TBL_CONFIG_FIELDSTATUSCODES[#All],3,FALSE),"")</f>
        <v/>
      </c>
      <c r="P72" s="1" t="str">
        <f>IFERROR(VLOOKUP(DB_TBL_DATA_FIELDS[[#This Row],[FIELD_STATUS_CODE]],DB_TBL_CONFIG_FIELDSTATUSCODES[#All],4,FALSE),"")</f>
        <v/>
      </c>
      <c r="Q72" s="1" t="b">
        <f>TRUE</f>
        <v>1</v>
      </c>
      <c r="R72" s="1" t="b">
        <v>0</v>
      </c>
      <c r="T72" s="1">
        <f>IF(DB_TBL_DATA_FIELDS[[#This Row],[RANGE_VALIDATION_FLAG]]="Text",LEN(DB_TBL_DATA_FIELDS[[#This Row],[FIELD_VALUE_RAW]]),IFERROR(VALUE(DB_TBL_DATA_FIELDS[[#This Row],[FIELD_VALUE_RAW]]),-1))</f>
        <v>-1</v>
      </c>
      <c r="U72" s="1">
        <v>0</v>
      </c>
      <c r="V72" s="1">
        <v>1</v>
      </c>
      <c r="W72" s="1" t="b">
        <f>IF(NOT(DB_TBL_DATA_FIELDS[[#This Row],[RANGE_VALIDATION_ON_FLAG]]),TRUE,
AND(DB_TBL_DATA_FIELDS[[#This Row],[RANGE_VALUE_LEN]]&gt;=DB_TBL_DATA_FIELDS[[#This Row],[RANGE_VALIDATION_MIN]],DB_TBL_DATA_FIELDS[[#This Row],[RANGE_VALUE_LEN]]&lt;=DB_TBL_DATA_FIELDS[[#This Row],[RANGE_VALIDATION_MAX]]))</f>
        <v>1</v>
      </c>
      <c r="X72" s="1">
        <v>1</v>
      </c>
      <c r="Y72" s="1" t="str">
        <f>IF(DB_TBL_DATA_FIELDS[[#This Row],[PCT_CALC_SHOW_STATUS_CODE]]=1,
DB_TBL_DATA_FIELDS[[#This Row],[FIELD_STATUS_CODE]],
IF(AND(DB_TBL_DATA_FIELDS[[#This Row],[PCT_CALC_SHOW_STATUS_CODE]]=2,DB_TBL_DATA_FIELDS[[#This Row],[FIELD_STATUS_CODE]]=0),
DB_TBL_DATA_FIELDS[[#This Row],[FIELD_STATUS_CODE]],
"")
)</f>
        <v/>
      </c>
      <c r="AA72" s="2">
        <v>29</v>
      </c>
      <c r="AB72" s="2" t="s">
        <v>2341</v>
      </c>
      <c r="AC72" s="1" t="s">
        <v>2443</v>
      </c>
    </row>
    <row r="73" spans="1:29" x14ac:dyDescent="0.3">
      <c r="A73" s="128"/>
      <c r="B73" s="128"/>
      <c r="C73" s="128" t="str">
        <f>IF($H$9&lt;&gt;"I",IF(DB_TBL_DATA_FIELDS[[#This Row],[SHEET_REF_WISH]]&lt;&gt;"",DB_TBL_DATA_FIELDS[[#This Row],[SHEET_REF_WISH]],""),IF(DB_TBL_DATA_FIELDS[[#This Row],[SHEET_REF_IDEA]]&lt;&gt;"",DB_TBL_DATA_FIELDS[[#This Row],[SHEET_REF_IDEA]],""))</f>
        <v/>
      </c>
      <c r="D73" s="128" t="s">
        <v>2292</v>
      </c>
      <c r="E73" s="1" t="b">
        <v>0</v>
      </c>
      <c r="F73" s="130" t="b">
        <v>0</v>
      </c>
      <c r="G73" s="129" t="s">
        <v>2318</v>
      </c>
      <c r="H73" s="131" t="str">
        <f>""</f>
        <v/>
      </c>
      <c r="I73" s="14" t="str">
        <f>IF(NOT(DB_TBL_DATA_FIELDS[[#This Row],[FIELD_EMPTY_FLAG]]),DB_TBL_DATA_FIELDS[[#This Row],[FIELD_REQ_FLAG]],"")</f>
        <v/>
      </c>
      <c r="J73" s="2" t="b">
        <f>(DB_TBL_DATA_FIELDS[[#This Row],[FIELD_VALUE_RAW]]="")</f>
        <v>1</v>
      </c>
      <c r="K73" s="2" t="s">
        <v>11</v>
      </c>
      <c r="L73" s="1" t="b">
        <f>AND(IF(DB_TBL_DATA_FIELDS[[#This Row],[FIELD_VALID_CUSTOM_LOGIC]]="",TRUE,DB_TBL_DATA_FIELDS[[#This Row],[FIELD_VALID_CUSTOM_LOGIC]]),DB_TBL_DATA_FIELDS[[#This Row],[RANGE_VALIDATION_PASSED_FLAG]])</f>
        <v>1</v>
      </c>
      <c r="M73" s="2" t="str">
        <f>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73" s="1" t="str">
        <f>IF(DB_TBL_DATA_FIELDS[[#This Row],[SHEET_REF_CALC]]="","",IF(DB_TBL_DATA_FIELDS[[#This Row],[FIELD_EMPTY_FLAG]],IF(NOT(DB_TBL_DATA_FIELDS[[#This Row],[FIELD_REQ_FLAG]]),-1,1),IF(NOT(DB_TBL_DATA_FIELDS[[#This Row],[FIELD_VALID_FLAG]]),0,2)))</f>
        <v/>
      </c>
      <c r="O73" s="1" t="str">
        <f>IFERROR(VLOOKUP(DB_TBL_DATA_FIELDS[[#This Row],[FIELD_STATUS_CODE]],DB_TBL_CONFIG_FIELDSTATUSCODES[#All],3,FALSE),"")</f>
        <v/>
      </c>
      <c r="P73" s="1" t="str">
        <f>IFERROR(VLOOKUP(DB_TBL_DATA_FIELDS[[#This Row],[FIELD_STATUS_CODE]],DB_TBL_CONFIG_FIELDSTATUSCODES[#All],4,FALSE),"")</f>
        <v/>
      </c>
      <c r="Q73" s="1" t="b">
        <f>TRUE</f>
        <v>1</v>
      </c>
      <c r="R73" s="1" t="b">
        <f>TRUE</f>
        <v>1</v>
      </c>
      <c r="S73" s="1" t="s">
        <v>11</v>
      </c>
      <c r="T73" s="1">
        <f>IF(DB_TBL_DATA_FIELDS[[#This Row],[RANGE_VALIDATION_FLAG]]="Text",LEN(DB_TBL_DATA_FIELDS[[#This Row],[FIELD_VALUE_RAW]]),IFERROR(VALUE(DB_TBL_DATA_FIELDS[[#This Row],[FIELD_VALUE_RAW]]),-1))</f>
        <v>0</v>
      </c>
      <c r="U73" s="1">
        <v>0</v>
      </c>
      <c r="V73" s="1">
        <v>400</v>
      </c>
      <c r="W73" s="1" t="b">
        <f>IF(NOT(DB_TBL_DATA_FIELDS[[#This Row],[RANGE_VALIDATION_ON_FLAG]]),TRUE,
AND(DB_TBL_DATA_FIELDS[[#This Row],[RANGE_VALUE_LEN]]&gt;=DB_TBL_DATA_FIELDS[[#This Row],[RANGE_VALIDATION_MIN]],DB_TBL_DATA_FIELDS[[#This Row],[RANGE_VALUE_LEN]]&lt;=DB_TBL_DATA_FIELDS[[#This Row],[RANGE_VALIDATION_MAX]]))</f>
        <v>1</v>
      </c>
      <c r="X73" s="1">
        <v>1</v>
      </c>
      <c r="Y73" s="1" t="str">
        <f>IF(DB_TBL_DATA_FIELDS[[#This Row],[PCT_CALC_SHOW_STATUS_CODE]]=1,
DB_TBL_DATA_FIELDS[[#This Row],[FIELD_STATUS_CODE]],
IF(AND(DB_TBL_DATA_FIELDS[[#This Row],[PCT_CALC_SHOW_STATUS_CODE]]=2,DB_TBL_DATA_FIELDS[[#This Row],[FIELD_STATUS_CODE]]=0),
DB_TBL_DATA_FIELDS[[#This Row],[FIELD_STATUS_CODE]],
"")
)</f>
        <v/>
      </c>
      <c r="AA73" s="2">
        <v>30</v>
      </c>
      <c r="AB73" s="2" t="s">
        <v>2341</v>
      </c>
      <c r="AC73" s="1" t="s">
        <v>2443</v>
      </c>
    </row>
    <row r="74" spans="1:29" x14ac:dyDescent="0.3">
      <c r="A74" s="1" t="s">
        <v>2226</v>
      </c>
      <c r="B74" s="128" t="s">
        <v>2227</v>
      </c>
      <c r="C74" s="1" t="str">
        <f>IF($H$9&lt;&gt;"I",IF(DB_TBL_DATA_FIELDS[[#This Row],[SHEET_REF_WISH]]&lt;&gt;"",DB_TBL_DATA_FIELDS[[#This Row],[SHEET_REF_WISH]],""),IF(DB_TBL_DATA_FIELDS[[#This Row],[SHEET_REF_IDEA]]&lt;&gt;"",DB_TBL_DATA_FIELDS[[#This Row],[SHEET_REF_IDEA]],""))</f>
        <v>WISH</v>
      </c>
      <c r="D74" s="1" t="s">
        <v>2293</v>
      </c>
      <c r="E74" s="1" t="b">
        <v>1</v>
      </c>
      <c r="F74" s="11" t="b">
        <v>1</v>
      </c>
      <c r="G74" s="2" t="s">
        <v>2320</v>
      </c>
      <c r="H74" s="14" t="str">
        <f ca="1">IFERROR(TEXT(VLOOKUP(DB_TBL_DATA_FIELDS[[#This Row],[FIELD_ID]],INDIRECT(DB_TBL_DATA_FIELDS[[#This Row],[SHEET_REF_CALC]]&amp;"!A:B"),2,FALSE),"MM/DD/YYYY"),"")</f>
        <v/>
      </c>
      <c r="I74" s="14"/>
      <c r="J74" s="2" t="b">
        <f ca="1">(DB_TBL_DATA_FIELDS[[#This Row],[FIELD_VALUE_RAW]]="")</f>
        <v>1</v>
      </c>
      <c r="K74" s="2" t="s">
        <v>36</v>
      </c>
      <c r="L74" s="1" t="b">
        <f ca="1">AND(IF(DB_TBL_DATA_FIELDS[[#This Row],[FIELD_VALID_CUSTOM_LOGIC]]="",TRUE,DB_TBL_DATA_FIELDS[[#This Row],[FIELD_VALID_CUSTOM_LOGIC]]),DB_TBL_DATA_FIELDS[[#This Row],[RANGE_VALIDATION_PASSED_FLAG]])</f>
        <v>1</v>
      </c>
      <c r="M74"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74" s="1">
        <f ca="1">IF(DB_TBL_DATA_FIELDS[[#This Row],[SHEET_REF_CALC]]="","",IF(DB_TBL_DATA_FIELDS[[#This Row],[FIELD_EMPTY_FLAG]],IF(NOT(DB_TBL_DATA_FIELDS[[#This Row],[FIELD_REQ_FLAG]]),-1,1),IF(NOT(DB_TBL_DATA_FIELDS[[#This Row],[FIELD_VALID_FLAG]]),0,2)))</f>
        <v>1</v>
      </c>
      <c r="O74" s="1" t="str">
        <f ca="1">IFERROR(VLOOKUP(DB_TBL_DATA_FIELDS[[#This Row],[FIELD_STATUS_CODE]],DB_TBL_CONFIG_FIELDSTATUSCODES[#All],3,FALSE),"")</f>
        <v>Required</v>
      </c>
      <c r="P74" s="1" t="str">
        <f ca="1">IFERROR(VLOOKUP(DB_TBL_DATA_FIELDS[[#This Row],[FIELD_STATUS_CODE]],DB_TBL_CONFIG_FIELDSTATUSCODES[#All],4,FALSE),"")</f>
        <v>i</v>
      </c>
      <c r="Q74" s="1" t="b">
        <f>TRUE</f>
        <v>1</v>
      </c>
      <c r="R74" s="1" t="b">
        <f>TRUE</f>
        <v>1</v>
      </c>
      <c r="S74" s="1" t="s">
        <v>11</v>
      </c>
      <c r="T74" s="1">
        <f ca="1">IF(DB_TBL_DATA_FIELDS[[#This Row],[RANGE_VALIDATION_FLAG]]="Text",LEN(DB_TBL_DATA_FIELDS[[#This Row],[FIELD_VALUE_RAW]]),IFERROR(VALUE(DB_TBL_DATA_FIELDS[[#This Row],[FIELD_VALUE_RAW]]),-1))</f>
        <v>0</v>
      </c>
      <c r="U74" s="1">
        <v>0</v>
      </c>
      <c r="V74" s="1">
        <v>32767</v>
      </c>
      <c r="W74" s="1" t="b">
        <f ca="1">IF(NOT(DB_TBL_DATA_FIELDS[[#This Row],[RANGE_VALIDATION_ON_FLAG]]),TRUE,
AND(DB_TBL_DATA_FIELDS[[#This Row],[RANGE_VALUE_LEN]]&gt;=DB_TBL_DATA_FIELDS[[#This Row],[RANGE_VALIDATION_MIN]],DB_TBL_DATA_FIELDS[[#This Row],[RANGE_VALUE_LEN]]&lt;=DB_TBL_DATA_FIELDS[[#This Row],[RANGE_VALIDATION_MAX]]))</f>
        <v>1</v>
      </c>
      <c r="X74" s="1">
        <v>1</v>
      </c>
      <c r="Y74" s="1">
        <f ca="1">IF(DB_TBL_DATA_FIELDS[[#This Row],[PCT_CALC_SHOW_STATUS_CODE]]=1,
DB_TBL_DATA_FIELDS[[#This Row],[FIELD_STATUS_CODE]],
IF(AND(DB_TBL_DATA_FIELDS[[#This Row],[PCT_CALC_SHOW_STATUS_CODE]]=2,DB_TBL_DATA_FIELDS[[#This Row],[FIELD_STATUS_CODE]]=0),
DB_TBL_DATA_FIELDS[[#This Row],[FIELD_STATUS_CODE]],
"")
)</f>
        <v>1</v>
      </c>
      <c r="Z74" s="36"/>
      <c r="AA74" s="2">
        <v>31</v>
      </c>
      <c r="AB74" s="2" t="s">
        <v>2341</v>
      </c>
    </row>
    <row r="75" spans="1:29" x14ac:dyDescent="0.3">
      <c r="A75" s="1" t="s">
        <v>2226</v>
      </c>
      <c r="B75" s="128" t="s">
        <v>2227</v>
      </c>
      <c r="C75" s="1" t="str">
        <f>IF($H$9&lt;&gt;"I",IF(DB_TBL_DATA_FIELDS[[#This Row],[SHEET_REF_WISH]]&lt;&gt;"",DB_TBL_DATA_FIELDS[[#This Row],[SHEET_REF_WISH]],""),IF(DB_TBL_DATA_FIELDS[[#This Row],[SHEET_REF_IDEA]]&lt;&gt;"",DB_TBL_DATA_FIELDS[[#This Row],[SHEET_REF_IDEA]],""))</f>
        <v>WISH</v>
      </c>
      <c r="D75" s="1" t="s">
        <v>2294</v>
      </c>
      <c r="E75" s="1" t="b">
        <v>0</v>
      </c>
      <c r="F75" s="22" t="b">
        <v>0</v>
      </c>
      <c r="G75" s="2" t="s">
        <v>2321</v>
      </c>
      <c r="H75" s="14" t="str">
        <f ca="1">IFERROR(TEXT(VLOOKUP(DB_TBL_DATA_FIELDS[[#This Row],[FIELD_ID]],INDIRECT(DB_TBL_DATA_FIELDS[[#This Row],[SHEET_REF_CALC]]&amp;"!A:B"),2,FALSE),"MM/DD/YYYY"),"")</f>
        <v/>
      </c>
      <c r="I75" s="14" t="str">
        <f ca="1">IF(NOT(DB_TBL_DATA_FIELDS[[#This Row],[FIELD_EMPTY_FLAG]]),DB_TBL_DATA_FIELDS[[#This Row],[FIELD_REQ_FLAG]],"")</f>
        <v/>
      </c>
      <c r="J75" s="2" t="b">
        <f ca="1">(DB_TBL_DATA_FIELDS[[#This Row],[FIELD_VALUE_RAW]]="")</f>
        <v>1</v>
      </c>
      <c r="K75" s="2" t="s">
        <v>36</v>
      </c>
      <c r="L75" s="1" t="b">
        <f ca="1">AND(IF(DB_TBL_DATA_FIELDS[[#This Row],[FIELD_VALID_CUSTOM_LOGIC]]="",TRUE,DB_TBL_DATA_FIELDS[[#This Row],[FIELD_VALID_CUSTOM_LOGIC]]),DB_TBL_DATA_FIELDS[[#This Row],[RANGE_VALIDATION_PASSED_FLAG]])</f>
        <v>1</v>
      </c>
      <c r="M75"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75" s="1">
        <f ca="1">IF(DB_TBL_DATA_FIELDS[[#This Row],[SHEET_REF_CALC]]="","",IF(DB_TBL_DATA_FIELDS[[#This Row],[FIELD_EMPTY_FLAG]],IF(NOT(DB_TBL_DATA_FIELDS[[#This Row],[FIELD_REQ_FLAG]]),-1,1),IF(NOT(DB_TBL_DATA_FIELDS[[#This Row],[FIELD_VALID_FLAG]]),0,2)))</f>
        <v>-1</v>
      </c>
      <c r="O75" s="1" t="str">
        <f ca="1">IFERROR(VLOOKUP(DB_TBL_DATA_FIELDS[[#This Row],[FIELD_STATUS_CODE]],DB_TBL_CONFIG_FIELDSTATUSCODES[#All],3,FALSE),"")</f>
        <v>Optional</v>
      </c>
      <c r="P75" s="1" t="str">
        <f ca="1">IFERROR(VLOOKUP(DB_TBL_DATA_FIELDS[[#This Row],[FIELD_STATUS_CODE]],DB_TBL_CONFIG_FIELDSTATUSCODES[#All],4,FALSE),"")</f>
        <v xml:space="preserve"> </v>
      </c>
      <c r="Q75" s="1" t="b">
        <f>TRUE</f>
        <v>1</v>
      </c>
      <c r="R75" s="1" t="b">
        <f>TRUE</f>
        <v>1</v>
      </c>
      <c r="S75" s="1" t="s">
        <v>11</v>
      </c>
      <c r="T75" s="1">
        <f ca="1">IF(DB_TBL_DATA_FIELDS[[#This Row],[RANGE_VALIDATION_FLAG]]="Text",LEN(DB_TBL_DATA_FIELDS[[#This Row],[FIELD_VALUE_RAW]]),IFERROR(VALUE(DB_TBL_DATA_FIELDS[[#This Row],[FIELD_VALUE_RAW]]),-1))</f>
        <v>0</v>
      </c>
      <c r="U75" s="1">
        <v>0</v>
      </c>
      <c r="V75" s="1">
        <v>32767</v>
      </c>
      <c r="W75" s="1" t="b">
        <f ca="1">IF(NOT(DB_TBL_DATA_FIELDS[[#This Row],[RANGE_VALIDATION_ON_FLAG]]),TRUE,
AND(DB_TBL_DATA_FIELDS[[#This Row],[RANGE_VALUE_LEN]]&gt;=DB_TBL_DATA_FIELDS[[#This Row],[RANGE_VALIDATION_MIN]],DB_TBL_DATA_FIELDS[[#This Row],[RANGE_VALUE_LEN]]&lt;=DB_TBL_DATA_FIELDS[[#This Row],[RANGE_VALIDATION_MAX]]))</f>
        <v>1</v>
      </c>
      <c r="X75" s="1">
        <v>1</v>
      </c>
      <c r="Y75" s="1">
        <f ca="1">IF(DB_TBL_DATA_FIELDS[[#This Row],[PCT_CALC_SHOW_STATUS_CODE]]=1,
DB_TBL_DATA_FIELDS[[#This Row],[FIELD_STATUS_CODE]],
IF(AND(DB_TBL_DATA_FIELDS[[#This Row],[PCT_CALC_SHOW_STATUS_CODE]]=2,DB_TBL_DATA_FIELDS[[#This Row],[FIELD_STATUS_CODE]]=0),
DB_TBL_DATA_FIELDS[[#This Row],[FIELD_STATUS_CODE]],
"")
)</f>
        <v>-1</v>
      </c>
      <c r="AA75" s="2">
        <v>11</v>
      </c>
      <c r="AB75" s="2" t="s">
        <v>2341</v>
      </c>
      <c r="AC75" s="1" t="s">
        <v>2342</v>
      </c>
    </row>
    <row r="76" spans="1:29" x14ac:dyDescent="0.3">
      <c r="A76" s="1" t="s">
        <v>2226</v>
      </c>
      <c r="B76" s="128" t="s">
        <v>2227</v>
      </c>
      <c r="C76" s="1" t="str">
        <f>IF($H$9&lt;&gt;"I",IF(DB_TBL_DATA_FIELDS[[#This Row],[SHEET_REF_WISH]]&lt;&gt;"",DB_TBL_DATA_FIELDS[[#This Row],[SHEET_REF_WISH]],""),IF(DB_TBL_DATA_FIELDS[[#This Row],[SHEET_REF_IDEA]]&lt;&gt;"",DB_TBL_DATA_FIELDS[[#This Row],[SHEET_REF_IDEA]],""))</f>
        <v>WISH</v>
      </c>
      <c r="D76" s="1" t="s">
        <v>2295</v>
      </c>
      <c r="E76" s="1" t="b">
        <v>1</v>
      </c>
      <c r="F76" s="11" t="b">
        <v>1</v>
      </c>
      <c r="G76" s="2" t="s">
        <v>2322</v>
      </c>
      <c r="H76" s="2" t="str">
        <f ca="1">IFERROR(VLOOKUP(DB_TBL_DATA_FIELDS[[#This Row],[FIELD_ID]],INDIRECT(DB_TBL_DATA_FIELDS[[#This Row],[SHEET_REF_CALC]]&amp;"!A:B"),2,FALSE),"")</f>
        <v/>
      </c>
      <c r="I76" s="14" t="str">
        <f ca="1">IF(NOT(DB_TBL_DATA_FIELDS[[#This Row],[FIELD_EMPTY_FLAG]]),DB_TBL_DATA_FIELDS[[#This Row],[FIELD_REQ_FLAG]],"")</f>
        <v/>
      </c>
      <c r="J76" s="2" t="b">
        <f ca="1">(DB_TBL_DATA_FIELDS[[#This Row],[FIELD_VALUE_RAW]]="")</f>
        <v>1</v>
      </c>
      <c r="K76" s="2" t="s">
        <v>42</v>
      </c>
      <c r="L76" s="1" t="b">
        <f ca="1">AND(IF(DB_TBL_DATA_FIELDS[[#This Row],[FIELD_VALID_CUSTOM_LOGIC]]="",TRUE,DB_TBL_DATA_FIELDS[[#This Row],[FIELD_VALID_CUSTOM_LOGIC]]),DB_TBL_DATA_FIELDS[[#This Row],[RANGE_VALIDATION_PASSED_FLAG]])</f>
        <v>0</v>
      </c>
      <c r="M76"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76" s="1">
        <f ca="1">IF(DB_TBL_DATA_FIELDS[[#This Row],[SHEET_REF_CALC]]="","",IF(DB_TBL_DATA_FIELDS[[#This Row],[FIELD_EMPTY_FLAG]],IF(NOT(DB_TBL_DATA_FIELDS[[#This Row],[FIELD_REQ_FLAG]]),-1,1),IF(NOT(DB_TBL_DATA_FIELDS[[#This Row],[FIELD_VALID_FLAG]]),0,2)))</f>
        <v>1</v>
      </c>
      <c r="O76" s="1" t="str">
        <f ca="1">IFERROR(VLOOKUP(DB_TBL_DATA_FIELDS[[#This Row],[FIELD_STATUS_CODE]],DB_TBL_CONFIG_FIELDSTATUSCODES[#All],3,FALSE),"")</f>
        <v>Required</v>
      </c>
      <c r="P76" s="1" t="str">
        <f ca="1">IFERROR(VLOOKUP(DB_TBL_DATA_FIELDS[[#This Row],[FIELD_STATUS_CODE]],DB_TBL_CONFIG_FIELDSTATUSCODES[#All],4,FALSE),"")</f>
        <v>i</v>
      </c>
      <c r="Q76" s="1" t="b">
        <f>TRUE</f>
        <v>1</v>
      </c>
      <c r="R76" s="1" t="b">
        <f>TRUE</f>
        <v>1</v>
      </c>
      <c r="S76" s="1" t="s">
        <v>42</v>
      </c>
      <c r="T76" s="1">
        <f ca="1">IF(DB_TBL_DATA_FIELDS[[#This Row],[RANGE_VALIDATION_FLAG]]="Text",LEN(DB_TBL_DATA_FIELDS[[#This Row],[FIELD_VALUE_RAW]]),IFERROR(VALUE(DB_TBL_DATA_FIELDS[[#This Row],[FIELD_VALUE_RAW]]),-1))</f>
        <v>-1</v>
      </c>
      <c r="U76" s="1">
        <v>0</v>
      </c>
      <c r="V76" s="1">
        <v>999999999999</v>
      </c>
      <c r="W76" s="1" t="b">
        <f ca="1">IF(NOT(DB_TBL_DATA_FIELDS[[#This Row],[RANGE_VALIDATION_ON_FLAG]]),TRUE,
AND(DB_TBL_DATA_FIELDS[[#This Row],[RANGE_VALUE_LEN]]&gt;=DB_TBL_DATA_FIELDS[[#This Row],[RANGE_VALIDATION_MIN]],DB_TBL_DATA_FIELDS[[#This Row],[RANGE_VALUE_LEN]]&lt;=DB_TBL_DATA_FIELDS[[#This Row],[RANGE_VALIDATION_MAX]]))</f>
        <v>0</v>
      </c>
      <c r="X76" s="1">
        <v>1</v>
      </c>
      <c r="Y76" s="1">
        <f ca="1">IF(DB_TBL_DATA_FIELDS[[#This Row],[PCT_CALC_SHOW_STATUS_CODE]]=1,
DB_TBL_DATA_FIELDS[[#This Row],[FIELD_STATUS_CODE]],
IF(AND(DB_TBL_DATA_FIELDS[[#This Row],[PCT_CALC_SHOW_STATUS_CODE]]=2,DB_TBL_DATA_FIELDS[[#This Row],[FIELD_STATUS_CODE]]=0),
DB_TBL_DATA_FIELDS[[#This Row],[FIELD_STATUS_CODE]],
"")
)</f>
        <v>1</v>
      </c>
      <c r="AA76" s="2">
        <v>32</v>
      </c>
      <c r="AB76" s="2" t="s">
        <v>2341</v>
      </c>
    </row>
    <row r="77" spans="1:29" x14ac:dyDescent="0.3">
      <c r="A77" s="1" t="s">
        <v>2226</v>
      </c>
      <c r="B77" s="128"/>
      <c r="C77" s="128" t="str">
        <f>IF($H$9&lt;&gt;"I",IF(DB_TBL_DATA_FIELDS[[#This Row],[SHEET_REF_WISH]]&lt;&gt;"",DB_TBL_DATA_FIELDS[[#This Row],[SHEET_REF_WISH]],""),IF(DB_TBL_DATA_FIELDS[[#This Row],[SHEET_REF_IDEA]]&lt;&gt;"",DB_TBL_DATA_FIELDS[[#This Row],[SHEET_REF_IDEA]],""))</f>
        <v>WISH</v>
      </c>
      <c r="D77" s="128" t="s">
        <v>2296</v>
      </c>
      <c r="E77" s="1" t="b">
        <v>1</v>
      </c>
      <c r="F77" s="130" t="b">
        <v>1</v>
      </c>
      <c r="G77" s="129" t="s">
        <v>2323</v>
      </c>
      <c r="H77" s="131" t="str">
        <f ca="1">IFERROR(VLOOKUP(DB_TBL_DATA_FIELDS[[#This Row],[FIELD_ID]],INDIRECT(DB_TBL_DATA_FIELDS[[#This Row],[SHEET_REF_CALC]]&amp;"!A:B"),2,FALSE),"")</f>
        <v/>
      </c>
      <c r="I77" s="14" t="str">
        <f ca="1">IF(DB_TBL_DATA_FIELDS[[#This Row],[FIELD_EMPTY_FLAG]],"",IF(AND(DB_TBL_DATA_FIELDS[[#This Row],[FIELD_VALUE_RAW]] = FALSE, H49 &lt;= CONFIG_INCOME_TO_AMI_FLOOR), FALSE,TRUE))</f>
        <v/>
      </c>
      <c r="J77" s="2" t="b">
        <f ca="1">(DB_TBL_DATA_FIELDS[[#This Row],[FIELD_VALUE_RAW]]="")</f>
        <v>1</v>
      </c>
      <c r="K77" s="2" t="s">
        <v>144</v>
      </c>
      <c r="L77" s="1" t="b">
        <f ca="1">AND(IF(DB_TBL_DATA_FIELDS[[#This Row],[FIELD_VALID_CUSTOM_LOGIC]]="",TRUE,DB_TBL_DATA_FIELDS[[#This Row],[FIELD_VALID_CUSTOM_LOGIC]]),DB_TBL_DATA_FIELDS[[#This Row],[RANGE_VALIDATION_PASSED_FLAG]])</f>
        <v>1</v>
      </c>
      <c r="M77"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77" s="1">
        <f ca="1">IF(DB_TBL_DATA_FIELDS[[#This Row],[SHEET_REF_CALC]]="","",IF(DB_TBL_DATA_FIELDS[[#This Row],[FIELD_EMPTY_FLAG]],IF(NOT(DB_TBL_DATA_FIELDS[[#This Row],[FIELD_REQ_FLAG]]),-1,1),IF(NOT(DB_TBL_DATA_FIELDS[[#This Row],[FIELD_VALID_FLAG]]),0,2)))</f>
        <v>1</v>
      </c>
      <c r="O77" s="1" t="str">
        <f ca="1">IFERROR(VLOOKUP(DB_TBL_DATA_FIELDS[[#This Row],[FIELD_STATUS_CODE]],DB_TBL_CONFIG_FIELDSTATUSCODES[#All],3,FALSE),"")</f>
        <v>Required</v>
      </c>
      <c r="P77" s="1" t="str">
        <f ca="1">IFERROR(VLOOKUP(DB_TBL_DATA_FIELDS[[#This Row],[FIELD_STATUS_CODE]],DB_TBL_CONFIG_FIELDSTATUSCODES[#All],4,FALSE),"")</f>
        <v>i</v>
      </c>
      <c r="Q77" s="1" t="b">
        <f>TRUE</f>
        <v>1</v>
      </c>
      <c r="R77" s="1" t="b">
        <v>0</v>
      </c>
      <c r="T77" s="1">
        <f ca="1">IF(DB_TBL_DATA_FIELDS[[#This Row],[RANGE_VALIDATION_FLAG]]="Text",LEN(DB_TBL_DATA_FIELDS[[#This Row],[FIELD_VALUE_RAW]]),IFERROR(VALUE(DB_TBL_DATA_FIELDS[[#This Row],[FIELD_VALUE_RAW]]),-1))</f>
        <v>-1</v>
      </c>
      <c r="U77" s="35">
        <f>CONFIG_INCOME_TO_AMI_FLOOR</f>
        <v>0.8</v>
      </c>
      <c r="V77" s="35">
        <f>CONFIG_INCOME_TO_AMI_LIMIT</f>
        <v>1.4</v>
      </c>
      <c r="W77" s="1" t="b">
        <f>IF(NOT(DB_TBL_DATA_FIELDS[[#This Row],[RANGE_VALIDATION_ON_FLAG]]),TRUE,
AND(DB_TBL_DATA_FIELDS[[#This Row],[RANGE_VALUE_LEN]]&gt;=DB_TBL_DATA_FIELDS[[#This Row],[RANGE_VALIDATION_MIN]],DB_TBL_DATA_FIELDS[[#This Row],[RANGE_VALUE_LEN]]&lt;=DB_TBL_DATA_FIELDS[[#This Row],[RANGE_VALIDATION_MAX]]))</f>
        <v>1</v>
      </c>
      <c r="X77" s="1">
        <v>1</v>
      </c>
      <c r="Y77" s="1">
        <f ca="1">IF(DB_TBL_DATA_FIELDS[[#This Row],[PCT_CALC_SHOW_STATUS_CODE]]=1,
DB_TBL_DATA_FIELDS[[#This Row],[FIELD_STATUS_CODE]],
IF(AND(DB_TBL_DATA_FIELDS[[#This Row],[PCT_CALC_SHOW_STATUS_CODE]]=2,DB_TBL_DATA_FIELDS[[#This Row],[FIELD_STATUS_CODE]]=0),
DB_TBL_DATA_FIELDS[[#This Row],[FIELD_STATUS_CODE]],
"")
)</f>
        <v>1</v>
      </c>
      <c r="Z77" s="36" t="str">
        <f ca="1">IF(DB_TBL_DATA_FIELDS[[#This Row],[FIELD_STATUS_CODE]]=0,IF(NOT(DB_TBL_DATA_FIELDS[[#This Row],[FIELD_VALID_CUSTOM_LOGIC]]),
"Households earning 80% or below MUST obtain an FHA loan to be eligible for an MDPA grant.",""),"")</f>
        <v/>
      </c>
      <c r="AA77" s="2">
        <v>33</v>
      </c>
      <c r="AB77" s="2" t="s">
        <v>2341</v>
      </c>
    </row>
    <row r="78" spans="1:29" x14ac:dyDescent="0.3">
      <c r="A78" s="1" t="s">
        <v>2226</v>
      </c>
      <c r="B78" s="128" t="s">
        <v>2227</v>
      </c>
      <c r="C78" s="1" t="str">
        <f>IF($H$9&lt;&gt;"I",IF(DB_TBL_DATA_FIELDS[[#This Row],[SHEET_REF_WISH]]&lt;&gt;"",DB_TBL_DATA_FIELDS[[#This Row],[SHEET_REF_WISH]],""),IF(DB_TBL_DATA_FIELDS[[#This Row],[SHEET_REF_IDEA]]&lt;&gt;"",DB_TBL_DATA_FIELDS[[#This Row],[SHEET_REF_IDEA]],""))</f>
        <v>WISH</v>
      </c>
      <c r="D78" s="1" t="s">
        <v>2297</v>
      </c>
      <c r="E78" s="1" t="b">
        <v>1</v>
      </c>
      <c r="F78" s="11" t="b">
        <v>1</v>
      </c>
      <c r="G78" s="2" t="s">
        <v>2324</v>
      </c>
      <c r="H78" s="2" t="str">
        <f ca="1">IFERROR(VLOOKUP(DB_TBL_DATA_FIELDS[[#This Row],[FIELD_ID]],INDIRECT(DB_TBL_DATA_FIELDS[[#This Row],[SHEET_REF_CALC]]&amp;"!A:B"),2,FALSE),"")</f>
        <v/>
      </c>
      <c r="I78" s="14" t="str">
        <f ca="1">IF(DB_TBL_DATA_FIELDS[[#This Row],[FIELD_EMPTY_FLAG]],"",DB_TBL_DATA_FIELDS[[#This Row],[FIELD_VALUE_RAW]]&lt;=CONFIG_HOUSING_EXP_RATIO_LIMIT)</f>
        <v/>
      </c>
      <c r="J78" s="2" t="b">
        <f ca="1">(DB_TBL_DATA_FIELDS[[#This Row],[FIELD_VALUE_RAW]]="")</f>
        <v>1</v>
      </c>
      <c r="K78" s="2" t="s">
        <v>42</v>
      </c>
      <c r="L78" s="1" t="b">
        <f ca="1">AND(IF(DB_TBL_DATA_FIELDS[[#This Row],[FIELD_VALID_CUSTOM_LOGIC]]="",TRUE,DB_TBL_DATA_FIELDS[[#This Row],[FIELD_VALID_CUSTOM_LOGIC]]),DB_TBL_DATA_FIELDS[[#This Row],[RANGE_VALIDATION_PASSED_FLAG]])</f>
        <v>0</v>
      </c>
      <c r="M78"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78" s="1">
        <f ca="1">IF(DB_TBL_DATA_FIELDS[[#This Row],[SHEET_REF_CALC]]="","",IF(DB_TBL_DATA_FIELDS[[#This Row],[FIELD_EMPTY_FLAG]],IF(NOT(DB_TBL_DATA_FIELDS[[#This Row],[FIELD_REQ_FLAG]]),-1,1),IF(NOT(DB_TBL_DATA_FIELDS[[#This Row],[FIELD_VALID_FLAG]]),0,2)))</f>
        <v>1</v>
      </c>
      <c r="O78" s="1" t="str">
        <f ca="1">IFERROR(VLOOKUP(DB_TBL_DATA_FIELDS[[#This Row],[FIELD_STATUS_CODE]],DB_TBL_CONFIG_FIELDSTATUSCODES[#All],3,FALSE),"")</f>
        <v>Required</v>
      </c>
      <c r="P78" s="1" t="str">
        <f ca="1">IFERROR(VLOOKUP(DB_TBL_DATA_FIELDS[[#This Row],[FIELD_STATUS_CODE]],DB_TBL_CONFIG_FIELDSTATUSCODES[#All],4,FALSE),"")</f>
        <v>i</v>
      </c>
      <c r="Q78" s="1" t="b">
        <f>TRUE</f>
        <v>1</v>
      </c>
      <c r="R78" s="1" t="b">
        <f>TRUE</f>
        <v>1</v>
      </c>
      <c r="S78" s="1" t="s">
        <v>42</v>
      </c>
      <c r="T78" s="1">
        <f ca="1">IF(DB_TBL_DATA_FIELDS[[#This Row],[RANGE_VALIDATION_FLAG]]="Text",LEN(DB_TBL_DATA_FIELDS[[#This Row],[FIELD_VALUE_RAW]]),IFERROR(VALUE(DB_TBL_DATA_FIELDS[[#This Row],[FIELD_VALUE_RAW]]),-1))</f>
        <v>-1</v>
      </c>
      <c r="U78" s="1">
        <v>0</v>
      </c>
      <c r="V78" s="35">
        <f>CONFIG_HOUSING_EXP_RATIO_LIMIT</f>
        <v>0.5</v>
      </c>
      <c r="W78" s="1" t="b">
        <f ca="1">IF(NOT(DB_TBL_DATA_FIELDS[[#This Row],[RANGE_VALIDATION_ON_FLAG]]),TRUE,
AND(DB_TBL_DATA_FIELDS[[#This Row],[RANGE_VALUE_LEN]]&gt;=DB_TBL_DATA_FIELDS[[#This Row],[RANGE_VALIDATION_MIN]],DB_TBL_DATA_FIELDS[[#This Row],[RANGE_VALUE_LEN]]&lt;=DB_TBL_DATA_FIELDS[[#This Row],[RANGE_VALIDATION_MAX]]))</f>
        <v>0</v>
      </c>
      <c r="X78" s="1">
        <v>1</v>
      </c>
      <c r="Y78" s="1">
        <f ca="1">IF(DB_TBL_DATA_FIELDS[[#This Row],[PCT_CALC_SHOW_STATUS_CODE]]=1,
DB_TBL_DATA_FIELDS[[#This Row],[FIELD_STATUS_CODE]],
IF(AND(DB_TBL_DATA_FIELDS[[#This Row],[PCT_CALC_SHOW_STATUS_CODE]]=2,DB_TBL_DATA_FIELDS[[#This Row],[FIELD_STATUS_CODE]]=0),
DB_TBL_DATA_FIELDS[[#This Row],[FIELD_STATUS_CODE]],
"")
)</f>
        <v>1</v>
      </c>
      <c r="AA78" s="2">
        <v>34</v>
      </c>
      <c r="AB78" s="2" t="s">
        <v>2341</v>
      </c>
    </row>
    <row r="79" spans="1:29" x14ac:dyDescent="0.3">
      <c r="A79" s="128"/>
      <c r="B79" s="128"/>
      <c r="C79" s="128" t="str">
        <f>IF($H$9&lt;&gt;"I",IF(DB_TBL_DATA_FIELDS[[#This Row],[SHEET_REF_WISH]]&lt;&gt;"",DB_TBL_DATA_FIELDS[[#This Row],[SHEET_REF_WISH]],""),IF(DB_TBL_DATA_FIELDS[[#This Row],[SHEET_REF_IDEA]]&lt;&gt;"",DB_TBL_DATA_FIELDS[[#This Row],[SHEET_REF_IDEA]],""))</f>
        <v/>
      </c>
      <c r="D79" s="128" t="s">
        <v>2298</v>
      </c>
      <c r="E79" s="1" t="b">
        <v>1</v>
      </c>
      <c r="F79" s="130" t="b">
        <v>0</v>
      </c>
      <c r="G79" s="129" t="s">
        <v>2329</v>
      </c>
      <c r="H79" s="131" t="str">
        <f ca="1">IFERROR(VLOOKUP(DB_TBL_DATA_FIELDS[[#This Row],[FIELD_ID]],INDIRECT(DB_TBL_DATA_FIELDS[[#This Row],[SHEET_REF_CALC]]&amp;"!A:B"),2,FALSE),"")</f>
        <v/>
      </c>
      <c r="I79" s="14" t="str">
        <f ca="1">IF(NOT(DB_TBL_DATA_FIELDS[[#This Row],[FIELD_EMPTY_FLAG]]),DB_TBL_DATA_FIELDS[[#This Row],[FIELD_REQ_FLAG]],"")</f>
        <v/>
      </c>
      <c r="J79" s="2" t="b">
        <f ca="1">(DB_TBL_DATA_FIELDS[[#This Row],[FIELD_VALUE_RAW]]="")</f>
        <v>1</v>
      </c>
      <c r="K79" s="2" t="s">
        <v>11</v>
      </c>
      <c r="L79" s="1" t="b">
        <f ca="1">AND(IF(DB_TBL_DATA_FIELDS[[#This Row],[FIELD_VALID_CUSTOM_LOGIC]]="",TRUE,DB_TBL_DATA_FIELDS[[#This Row],[FIELD_VALID_CUSTOM_LOGIC]]),DB_TBL_DATA_FIELDS[[#This Row],[RANGE_VALIDATION_PASSED_FLAG]])</f>
        <v>1</v>
      </c>
      <c r="M79"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79" s="1" t="str">
        <f>IF(DB_TBL_DATA_FIELDS[[#This Row],[SHEET_REF_CALC]]="","",IF(DB_TBL_DATA_FIELDS[[#This Row],[FIELD_EMPTY_FLAG]],IF(NOT(DB_TBL_DATA_FIELDS[[#This Row],[FIELD_REQ_FLAG]]),-1,1),IF(NOT(DB_TBL_DATA_FIELDS[[#This Row],[FIELD_VALID_FLAG]]),0,2)))</f>
        <v/>
      </c>
      <c r="O79" s="1" t="str">
        <f>IFERROR(VLOOKUP(DB_TBL_DATA_FIELDS[[#This Row],[FIELD_STATUS_CODE]],DB_TBL_CONFIG_FIELDSTATUSCODES[#All],3,FALSE),"")</f>
        <v/>
      </c>
      <c r="P79" s="1" t="str">
        <f>IFERROR(VLOOKUP(DB_TBL_DATA_FIELDS[[#This Row],[FIELD_STATUS_CODE]],DB_TBL_CONFIG_FIELDSTATUSCODES[#All],4,FALSE),"")</f>
        <v/>
      </c>
      <c r="Q79" s="1" t="b">
        <f>TRUE</f>
        <v>1</v>
      </c>
      <c r="R79" s="1" t="b">
        <f>TRUE</f>
        <v>1</v>
      </c>
      <c r="S79" s="1" t="s">
        <v>11</v>
      </c>
      <c r="T79" s="1">
        <f ca="1">IF(DB_TBL_DATA_FIELDS[[#This Row],[RANGE_VALIDATION_FLAG]]="Text",LEN(DB_TBL_DATA_FIELDS[[#This Row],[FIELD_VALUE_RAW]]),IFERROR(VALUE(DB_TBL_DATA_FIELDS[[#This Row],[FIELD_VALUE_RAW]]),-1))</f>
        <v>0</v>
      </c>
      <c r="U79" s="1">
        <v>0</v>
      </c>
      <c r="V79" s="1">
        <v>800</v>
      </c>
      <c r="W79" s="1" t="b">
        <f ca="1">IF(NOT(DB_TBL_DATA_FIELDS[[#This Row],[RANGE_VALIDATION_ON_FLAG]]),TRUE,
AND(DB_TBL_DATA_FIELDS[[#This Row],[RANGE_VALUE_LEN]]&gt;=DB_TBL_DATA_FIELDS[[#This Row],[RANGE_VALIDATION_MIN]],DB_TBL_DATA_FIELDS[[#This Row],[RANGE_VALUE_LEN]]&lt;=DB_TBL_DATA_FIELDS[[#This Row],[RANGE_VALIDATION_MAX]]))</f>
        <v>1</v>
      </c>
      <c r="X79" s="1">
        <v>1</v>
      </c>
      <c r="Y79" s="1" t="str">
        <f>IF(DB_TBL_DATA_FIELDS[[#This Row],[PCT_CALC_SHOW_STATUS_CODE]]=1,
DB_TBL_DATA_FIELDS[[#This Row],[FIELD_STATUS_CODE]],
IF(AND(DB_TBL_DATA_FIELDS[[#This Row],[PCT_CALC_SHOW_STATUS_CODE]]=2,DB_TBL_DATA_FIELDS[[#This Row],[FIELD_STATUS_CODE]]=0),
DB_TBL_DATA_FIELDS[[#This Row],[FIELD_STATUS_CODE]],
"")
)</f>
        <v/>
      </c>
      <c r="AA79" s="2">
        <v>35</v>
      </c>
      <c r="AB79" s="2" t="s">
        <v>2341</v>
      </c>
    </row>
    <row r="80" spans="1:29" x14ac:dyDescent="0.3">
      <c r="A80" s="128"/>
      <c r="B80" s="128"/>
      <c r="C80" s="128" t="str">
        <f>IF($H$9&lt;&gt;"I",IF(DB_TBL_DATA_FIELDS[[#This Row],[SHEET_REF_WISH]]&lt;&gt;"",DB_TBL_DATA_FIELDS[[#This Row],[SHEET_REF_WISH]],""),IF(DB_TBL_DATA_FIELDS[[#This Row],[SHEET_REF_IDEA]]&lt;&gt;"",DB_TBL_DATA_FIELDS[[#This Row],[SHEET_REF_IDEA]],""))</f>
        <v/>
      </c>
      <c r="D80" s="128" t="s">
        <v>2299</v>
      </c>
      <c r="E80" s="1" t="b">
        <v>0</v>
      </c>
      <c r="F80" s="130" t="b">
        <v>0</v>
      </c>
      <c r="G80" s="129" t="s">
        <v>2330</v>
      </c>
      <c r="H80" s="131" t="str">
        <f ca="1">IFERROR(VLOOKUP(DB_TBL_DATA_FIELDS[[#This Row],[FIELD_ID]],INDIRECT(DB_TBL_DATA_FIELDS[[#This Row],[SHEET_REF_CALC]]&amp;"!A:B"),2,FALSE),"")</f>
        <v/>
      </c>
      <c r="J80" s="2" t="b">
        <f ca="1">(DB_TBL_DATA_FIELDS[[#This Row],[FIELD_VALUE_RAW]]="")</f>
        <v>1</v>
      </c>
      <c r="K80" s="2" t="s">
        <v>144</v>
      </c>
      <c r="L80" s="1" t="b">
        <f>AND(IF(DB_TBL_DATA_FIELDS[[#This Row],[FIELD_VALID_CUSTOM_LOGIC]]="",TRUE,DB_TBL_DATA_FIELDS[[#This Row],[FIELD_VALID_CUSTOM_LOGIC]]),DB_TBL_DATA_FIELDS[[#This Row],[RANGE_VALIDATION_PASSED_FLAG]])</f>
        <v>1</v>
      </c>
      <c r="M80"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80" s="1" t="str">
        <f>IF(DB_TBL_DATA_FIELDS[[#This Row],[SHEET_REF_CALC]]="","",IF(DB_TBL_DATA_FIELDS[[#This Row],[FIELD_EMPTY_FLAG]],IF(NOT(DB_TBL_DATA_FIELDS[[#This Row],[FIELD_REQ_FLAG]]),-1,1),IF(NOT(DB_TBL_DATA_FIELDS[[#This Row],[FIELD_VALID_FLAG]]),0,2)))</f>
        <v/>
      </c>
      <c r="O80" s="1" t="str">
        <f>IFERROR(VLOOKUP(DB_TBL_DATA_FIELDS[[#This Row],[FIELD_STATUS_CODE]],DB_TBL_CONFIG_FIELDSTATUSCODES[#All],3,FALSE),"")</f>
        <v/>
      </c>
      <c r="P80" s="1" t="str">
        <f>IFERROR(VLOOKUP(DB_TBL_DATA_FIELDS[[#This Row],[FIELD_STATUS_CODE]],DB_TBL_CONFIG_FIELDSTATUSCODES[#All],4,FALSE),"")</f>
        <v/>
      </c>
      <c r="Q80" s="1" t="b">
        <f>TRUE</f>
        <v>1</v>
      </c>
      <c r="R80" s="1" t="b">
        <v>0</v>
      </c>
      <c r="T80" s="1">
        <f ca="1">IF(DB_TBL_DATA_FIELDS[[#This Row],[RANGE_VALIDATION_FLAG]]="Text",LEN(DB_TBL_DATA_FIELDS[[#This Row],[FIELD_VALUE_RAW]]),IFERROR(VALUE(DB_TBL_DATA_FIELDS[[#This Row],[FIELD_VALUE_RAW]]),-1))</f>
        <v>-1</v>
      </c>
      <c r="U80" s="1">
        <v>0</v>
      </c>
      <c r="V80" s="1">
        <v>1</v>
      </c>
      <c r="W80" s="1" t="b">
        <f>IF(NOT(DB_TBL_DATA_FIELDS[[#This Row],[RANGE_VALIDATION_ON_FLAG]]),TRUE,
AND(DB_TBL_DATA_FIELDS[[#This Row],[RANGE_VALUE_LEN]]&gt;=DB_TBL_DATA_FIELDS[[#This Row],[RANGE_VALIDATION_MIN]],DB_TBL_DATA_FIELDS[[#This Row],[RANGE_VALUE_LEN]]&lt;=DB_TBL_DATA_FIELDS[[#This Row],[RANGE_VALIDATION_MAX]]))</f>
        <v>1</v>
      </c>
      <c r="X80" s="1">
        <v>1</v>
      </c>
      <c r="Y80" s="1" t="str">
        <f>IF(DB_TBL_DATA_FIELDS[[#This Row],[PCT_CALC_SHOW_STATUS_CODE]]=1,
DB_TBL_DATA_FIELDS[[#This Row],[FIELD_STATUS_CODE]],
IF(AND(DB_TBL_DATA_FIELDS[[#This Row],[PCT_CALC_SHOW_STATUS_CODE]]=2,DB_TBL_DATA_FIELDS[[#This Row],[FIELD_STATUS_CODE]]=0),
DB_TBL_DATA_FIELDS[[#This Row],[FIELD_STATUS_CODE]],
"")
)</f>
        <v/>
      </c>
      <c r="AA80" s="2">
        <v>36</v>
      </c>
      <c r="AB80" s="2" t="s">
        <v>2341</v>
      </c>
    </row>
    <row r="81" spans="1:29" x14ac:dyDescent="0.3">
      <c r="A81" s="128"/>
      <c r="B81" s="128"/>
      <c r="C81" s="128" t="str">
        <f>IF($H$9&lt;&gt;"I",IF(DB_TBL_DATA_FIELDS[[#This Row],[SHEET_REF_WISH]]&lt;&gt;"",DB_TBL_DATA_FIELDS[[#This Row],[SHEET_REF_WISH]],""),IF(DB_TBL_DATA_FIELDS[[#This Row],[SHEET_REF_IDEA]]&lt;&gt;"",DB_TBL_DATA_FIELDS[[#This Row],[SHEET_REF_IDEA]],""))</f>
        <v/>
      </c>
      <c r="D81" s="128" t="s">
        <v>2300</v>
      </c>
      <c r="E81" s="1" t="b">
        <v>1</v>
      </c>
      <c r="F81" s="130" t="b">
        <v>0</v>
      </c>
      <c r="G81" s="129" t="s">
        <v>2331</v>
      </c>
      <c r="H81" s="131" t="str">
        <f ca="1">IFERROR(VLOOKUP(DB_TBL_DATA_FIELDS[[#This Row],[FIELD_ID]],INDIRECT(DB_TBL_DATA_FIELDS[[#This Row],[SHEET_REF_CALC]]&amp;"!A:B"),2,FALSE),"")</f>
        <v/>
      </c>
      <c r="I81" s="14" t="str">
        <f ca="1">IF(NOT(DB_TBL_DATA_FIELDS[[#This Row],[FIELD_EMPTY_FLAG]]),DB_TBL_DATA_FIELDS[[#This Row],[FIELD_REQ_FLAG]],"")</f>
        <v/>
      </c>
      <c r="J81" s="2" t="b">
        <f ca="1">(DB_TBL_DATA_FIELDS[[#This Row],[FIELD_VALUE_RAW]]="")</f>
        <v>1</v>
      </c>
      <c r="K81" s="2" t="s">
        <v>11</v>
      </c>
      <c r="L81" s="1" t="b">
        <f ca="1">AND(IF(DB_TBL_DATA_FIELDS[[#This Row],[FIELD_VALID_CUSTOM_LOGIC]]="",TRUE,DB_TBL_DATA_FIELDS[[#This Row],[FIELD_VALID_CUSTOM_LOGIC]]),DB_TBL_DATA_FIELDS[[#This Row],[RANGE_VALIDATION_PASSED_FLAG]])</f>
        <v>1</v>
      </c>
      <c r="M81"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81" s="1" t="str">
        <f>IF(DB_TBL_DATA_FIELDS[[#This Row],[SHEET_REF_CALC]]="","",IF(DB_TBL_DATA_FIELDS[[#This Row],[FIELD_EMPTY_FLAG]],IF(NOT(DB_TBL_DATA_FIELDS[[#This Row],[FIELD_REQ_FLAG]]),-1,1),IF(NOT(DB_TBL_DATA_FIELDS[[#This Row],[FIELD_VALID_FLAG]]),0,2)))</f>
        <v/>
      </c>
      <c r="O81" s="1" t="str">
        <f>IFERROR(VLOOKUP(DB_TBL_DATA_FIELDS[[#This Row],[FIELD_STATUS_CODE]],DB_TBL_CONFIG_FIELDSTATUSCODES[#All],3,FALSE),"")</f>
        <v/>
      </c>
      <c r="P81" s="1" t="str">
        <f>IFERROR(VLOOKUP(DB_TBL_DATA_FIELDS[[#This Row],[FIELD_STATUS_CODE]],DB_TBL_CONFIG_FIELDSTATUSCODES[#All],4,FALSE),"")</f>
        <v/>
      </c>
      <c r="Q81" s="1" t="b">
        <f>TRUE</f>
        <v>1</v>
      </c>
      <c r="R81" s="1" t="b">
        <f>TRUE</f>
        <v>1</v>
      </c>
      <c r="S81" s="1" t="s">
        <v>11</v>
      </c>
      <c r="T81" s="1">
        <f ca="1">IF(DB_TBL_DATA_FIELDS[[#This Row],[RANGE_VALIDATION_FLAG]]="Text",LEN(DB_TBL_DATA_FIELDS[[#This Row],[FIELD_VALUE_RAW]]),IFERROR(VALUE(DB_TBL_DATA_FIELDS[[#This Row],[FIELD_VALUE_RAW]]),-1))</f>
        <v>0</v>
      </c>
      <c r="U81" s="1">
        <v>0</v>
      </c>
      <c r="V81" s="1">
        <v>100</v>
      </c>
      <c r="W81" s="1" t="b">
        <f ca="1">IF(NOT(DB_TBL_DATA_FIELDS[[#This Row],[RANGE_VALIDATION_ON_FLAG]]),TRUE,
AND(DB_TBL_DATA_FIELDS[[#This Row],[RANGE_VALUE_LEN]]&gt;=DB_TBL_DATA_FIELDS[[#This Row],[RANGE_VALIDATION_MIN]],DB_TBL_DATA_FIELDS[[#This Row],[RANGE_VALUE_LEN]]&lt;=DB_TBL_DATA_FIELDS[[#This Row],[RANGE_VALIDATION_MAX]]))</f>
        <v>1</v>
      </c>
      <c r="X81" s="1">
        <v>1</v>
      </c>
      <c r="Y81" s="1" t="str">
        <f>IF(DB_TBL_DATA_FIELDS[[#This Row],[PCT_CALC_SHOW_STATUS_CODE]]=1,
DB_TBL_DATA_FIELDS[[#This Row],[FIELD_STATUS_CODE]],
IF(AND(DB_TBL_DATA_FIELDS[[#This Row],[PCT_CALC_SHOW_STATUS_CODE]]=2,DB_TBL_DATA_FIELDS[[#This Row],[FIELD_STATUS_CODE]]=0),
DB_TBL_DATA_FIELDS[[#This Row],[FIELD_STATUS_CODE]],
"")
)</f>
        <v/>
      </c>
      <c r="AA81" s="2">
        <v>37</v>
      </c>
      <c r="AB81" s="2" t="s">
        <v>2341</v>
      </c>
    </row>
    <row r="82" spans="1:29" x14ac:dyDescent="0.3">
      <c r="A82" s="128"/>
      <c r="B82" s="128"/>
      <c r="C82" s="128" t="str">
        <f>IF($H$9&lt;&gt;"I",IF(DB_TBL_DATA_FIELDS[[#This Row],[SHEET_REF_WISH]]&lt;&gt;"",DB_TBL_DATA_FIELDS[[#This Row],[SHEET_REF_WISH]],""),IF(DB_TBL_DATA_FIELDS[[#This Row],[SHEET_REF_IDEA]]&lt;&gt;"",DB_TBL_DATA_FIELDS[[#This Row],[SHEET_REF_IDEA]],""))</f>
        <v/>
      </c>
      <c r="D82" s="128" t="s">
        <v>2301</v>
      </c>
      <c r="E82" s="1" t="b">
        <v>1</v>
      </c>
      <c r="F82" s="130" t="b">
        <v>0</v>
      </c>
      <c r="G82" s="129" t="s">
        <v>2332</v>
      </c>
      <c r="H82" s="131" t="str">
        <f ca="1">IFERROR(VLOOKUP(DB_TBL_DATA_FIELDS[[#This Row],[FIELD_ID]],INDIRECT(DB_TBL_DATA_FIELDS[[#This Row],[SHEET_REF_CALC]]&amp;"!A:B"),2,FALSE),"")</f>
        <v/>
      </c>
      <c r="I82" s="14" t="str">
        <f ca="1">IF(NOT(DB_TBL_DATA_FIELDS[[#This Row],[FIELD_EMPTY_FLAG]]),DB_TBL_DATA_FIELDS[[#This Row],[FIELD_REQ_FLAG]],"")</f>
        <v/>
      </c>
      <c r="J82" s="2" t="b">
        <f ca="1">(DB_TBL_DATA_FIELDS[[#This Row],[FIELD_VALUE_RAW]]="")</f>
        <v>1</v>
      </c>
      <c r="K82" s="2" t="s">
        <v>42</v>
      </c>
      <c r="L82" s="1" t="b">
        <f ca="1">AND(IF(DB_TBL_DATA_FIELDS[[#This Row],[FIELD_VALID_CUSTOM_LOGIC]]="",TRUE,DB_TBL_DATA_FIELDS[[#This Row],[FIELD_VALID_CUSTOM_LOGIC]]),DB_TBL_DATA_FIELDS[[#This Row],[RANGE_VALIDATION_PASSED_FLAG]])</f>
        <v>0</v>
      </c>
      <c r="M82"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82" s="1" t="str">
        <f>IF(DB_TBL_DATA_FIELDS[[#This Row],[SHEET_REF_CALC]]="","",IF(DB_TBL_DATA_FIELDS[[#This Row],[FIELD_EMPTY_FLAG]],IF(NOT(DB_TBL_DATA_FIELDS[[#This Row],[FIELD_REQ_FLAG]]),-1,1),IF(NOT(DB_TBL_DATA_FIELDS[[#This Row],[FIELD_VALID_FLAG]]),0,2)))</f>
        <v/>
      </c>
      <c r="O82" s="1" t="str">
        <f>IFERROR(VLOOKUP(DB_TBL_DATA_FIELDS[[#This Row],[FIELD_STATUS_CODE]],DB_TBL_CONFIG_FIELDSTATUSCODES[#All],3,FALSE),"")</f>
        <v/>
      </c>
      <c r="P82" s="1" t="str">
        <f>IFERROR(VLOOKUP(DB_TBL_DATA_FIELDS[[#This Row],[FIELD_STATUS_CODE]],DB_TBL_CONFIG_FIELDSTATUSCODES[#All],4,FALSE),"")</f>
        <v/>
      </c>
      <c r="Q82" s="1" t="b">
        <f>TRUE</f>
        <v>1</v>
      </c>
      <c r="R82" s="1" t="b">
        <f>TRUE</f>
        <v>1</v>
      </c>
      <c r="S82" s="1" t="s">
        <v>42</v>
      </c>
      <c r="T82" s="1">
        <f ca="1">IF(DB_TBL_DATA_FIELDS[[#This Row],[RANGE_VALIDATION_FLAG]]="Text",LEN(DB_TBL_DATA_FIELDS[[#This Row],[FIELD_VALUE_RAW]]),IFERROR(VALUE(DB_TBL_DATA_FIELDS[[#This Row],[FIELD_VALUE_RAW]]),-1))</f>
        <v>-1</v>
      </c>
      <c r="U82" s="1">
        <v>1</v>
      </c>
      <c r="V82" s="1">
        <v>999999999999</v>
      </c>
      <c r="W82" s="1" t="b">
        <f ca="1">IF(NOT(DB_TBL_DATA_FIELDS[[#This Row],[RANGE_VALIDATION_ON_FLAG]]),TRUE,
AND(DB_TBL_DATA_FIELDS[[#This Row],[RANGE_VALUE_LEN]]&gt;=DB_TBL_DATA_FIELDS[[#This Row],[RANGE_VALIDATION_MIN]],DB_TBL_DATA_FIELDS[[#This Row],[RANGE_VALUE_LEN]]&lt;=DB_TBL_DATA_FIELDS[[#This Row],[RANGE_VALIDATION_MAX]]))</f>
        <v>0</v>
      </c>
      <c r="X82" s="1">
        <v>1</v>
      </c>
      <c r="Y82" s="1" t="str">
        <f>IF(DB_TBL_DATA_FIELDS[[#This Row],[PCT_CALC_SHOW_STATUS_CODE]]=1,
DB_TBL_DATA_FIELDS[[#This Row],[FIELD_STATUS_CODE]],
IF(AND(DB_TBL_DATA_FIELDS[[#This Row],[PCT_CALC_SHOW_STATUS_CODE]]=2,DB_TBL_DATA_FIELDS[[#This Row],[FIELD_STATUS_CODE]]=0),
DB_TBL_DATA_FIELDS[[#This Row],[FIELD_STATUS_CODE]],
"")
)</f>
        <v/>
      </c>
      <c r="AA82" s="2">
        <v>38</v>
      </c>
      <c r="AB82" s="2" t="s">
        <v>2341</v>
      </c>
    </row>
    <row r="83" spans="1:29" x14ac:dyDescent="0.3">
      <c r="A83" s="128"/>
      <c r="B83" s="128"/>
      <c r="C83" s="128" t="str">
        <f>IF($H$9&lt;&gt;"I",IF(DB_TBL_DATA_FIELDS[[#This Row],[SHEET_REF_WISH]]&lt;&gt;"",DB_TBL_DATA_FIELDS[[#This Row],[SHEET_REF_WISH]],""),IF(DB_TBL_DATA_FIELDS[[#This Row],[SHEET_REF_IDEA]]&lt;&gt;"",DB_TBL_DATA_FIELDS[[#This Row],[SHEET_REF_IDEA]],""))</f>
        <v/>
      </c>
      <c r="D83" s="128" t="s">
        <v>2302</v>
      </c>
      <c r="E83" s="1" t="b">
        <v>1</v>
      </c>
      <c r="F83" s="130" t="b">
        <v>0</v>
      </c>
      <c r="G83" s="129" t="s">
        <v>2333</v>
      </c>
      <c r="H83" s="131" t="str">
        <f ca="1">IFERROR(VLOOKUP(DB_TBL_DATA_FIELDS[[#This Row],[FIELD_ID]],INDIRECT(DB_TBL_DATA_FIELDS[[#This Row],[SHEET_REF_CALC]]&amp;"!A:B"),2,FALSE),"")</f>
        <v/>
      </c>
      <c r="I83" s="14" t="str">
        <f ca="1">IF(NOT(DB_TBL_DATA_FIELDS[[#This Row],[FIELD_EMPTY_FLAG]]),AND(DB_TBL_DATA_FIELDS[[#This Row],[FIELD_REQ_FLAG]],DB_TBL_DATA_FIELDS[[#This Row],[FIELD_VALUE_RAW]]&gt;CONFIG_SECOND_MTG_INT_RATE_FLOOR),"")</f>
        <v/>
      </c>
      <c r="J83" s="2" t="b">
        <f ca="1">(DB_TBL_DATA_FIELDS[[#This Row],[FIELD_VALUE_RAW]]="")</f>
        <v>1</v>
      </c>
      <c r="K83" s="2" t="s">
        <v>42</v>
      </c>
      <c r="L83" s="1" t="b">
        <f ca="1">AND(IF(DB_TBL_DATA_FIELDS[[#This Row],[FIELD_VALID_CUSTOM_LOGIC]]="",TRUE,DB_TBL_DATA_FIELDS[[#This Row],[FIELD_VALID_CUSTOM_LOGIC]]),DB_TBL_DATA_FIELDS[[#This Row],[RANGE_VALIDATION_PASSED_FLAG]])</f>
        <v>0</v>
      </c>
      <c r="M83"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83" s="1" t="str">
        <f>IF(DB_TBL_DATA_FIELDS[[#This Row],[SHEET_REF_CALC]]="","",IF(DB_TBL_DATA_FIELDS[[#This Row],[FIELD_EMPTY_FLAG]],IF(NOT(DB_TBL_DATA_FIELDS[[#This Row],[FIELD_REQ_FLAG]]),-1,1),IF(NOT(DB_TBL_DATA_FIELDS[[#This Row],[FIELD_VALID_FLAG]]),0,2)))</f>
        <v/>
      </c>
      <c r="O83" s="1" t="str">
        <f>IFERROR(VLOOKUP(DB_TBL_DATA_FIELDS[[#This Row],[FIELD_STATUS_CODE]],DB_TBL_CONFIG_FIELDSTATUSCODES[#All],3,FALSE),"")</f>
        <v/>
      </c>
      <c r="P83" s="1" t="str">
        <f>IFERROR(VLOOKUP(DB_TBL_DATA_FIELDS[[#This Row],[FIELD_STATUS_CODE]],DB_TBL_CONFIG_FIELDSTATUSCODES[#All],4,FALSE),"")</f>
        <v/>
      </c>
      <c r="Q83" s="1" t="b">
        <f>TRUE</f>
        <v>1</v>
      </c>
      <c r="R83" s="1" t="b">
        <f>TRUE</f>
        <v>1</v>
      </c>
      <c r="S83" s="1" t="s">
        <v>42</v>
      </c>
      <c r="T83" s="1">
        <f ca="1">IF(DB_TBL_DATA_FIELDS[[#This Row],[RANGE_VALIDATION_FLAG]]="Text",LEN(DB_TBL_DATA_FIELDS[[#This Row],[FIELD_VALUE_RAW]]),IFERROR(VALUE(DB_TBL_DATA_FIELDS[[#This Row],[FIELD_VALUE_RAW]]),-1))</f>
        <v>-1</v>
      </c>
      <c r="U83" s="1">
        <v>0</v>
      </c>
      <c r="V83" s="1">
        <v>10</v>
      </c>
      <c r="W83" s="1" t="b">
        <f ca="1">IF(NOT(DB_TBL_DATA_FIELDS[[#This Row],[RANGE_VALIDATION_ON_FLAG]]),TRUE,
AND(DB_TBL_DATA_FIELDS[[#This Row],[RANGE_VALUE_LEN]]&gt;=DB_TBL_DATA_FIELDS[[#This Row],[RANGE_VALIDATION_MIN]],DB_TBL_DATA_FIELDS[[#This Row],[RANGE_VALUE_LEN]]&lt;=DB_TBL_DATA_FIELDS[[#This Row],[RANGE_VALIDATION_MAX]]))</f>
        <v>0</v>
      </c>
      <c r="X83" s="1">
        <v>1</v>
      </c>
      <c r="Y83" s="1" t="str">
        <f>IF(DB_TBL_DATA_FIELDS[[#This Row],[PCT_CALC_SHOW_STATUS_CODE]]=1,
DB_TBL_DATA_FIELDS[[#This Row],[FIELD_STATUS_CODE]],
IF(AND(DB_TBL_DATA_FIELDS[[#This Row],[PCT_CALC_SHOW_STATUS_CODE]]=2,DB_TBL_DATA_FIELDS[[#This Row],[FIELD_STATUS_CODE]]=0),
DB_TBL_DATA_FIELDS[[#This Row],[FIELD_STATUS_CODE]],
"")
)</f>
        <v/>
      </c>
      <c r="Z83" s="36" t="str">
        <f>IF(DB_TBL_DATA_FIELDS[[#This Row],[FIELD_STATUS_CODE]]=0,IF(AND(NOT(DB_TBL_DATA_FIELDS[[#This Row],[FIELD_VALID_CUSTOM_LOGIC]]),DB_TBL_DATA_FIELDS[[#This Row],[FIELD_REQ_FLAG]]),
"Second Mortgage should be reported in 'Other Grant(s) or Mortgage Assistance' section",""),"")</f>
        <v/>
      </c>
      <c r="AA83" s="2">
        <v>39</v>
      </c>
      <c r="AB83" s="2" t="s">
        <v>2341</v>
      </c>
    </row>
    <row r="84" spans="1:29" x14ac:dyDescent="0.3">
      <c r="A84" s="128"/>
      <c r="B84" s="128"/>
      <c r="C84" s="128" t="str">
        <f>IF($H$9&lt;&gt;"I",IF(DB_TBL_DATA_FIELDS[[#This Row],[SHEET_REF_WISH]]&lt;&gt;"",DB_TBL_DATA_FIELDS[[#This Row],[SHEET_REF_WISH]],""),IF(DB_TBL_DATA_FIELDS[[#This Row],[SHEET_REF_IDEA]]&lt;&gt;"",DB_TBL_DATA_FIELDS[[#This Row],[SHEET_REF_IDEA]],""))</f>
        <v/>
      </c>
      <c r="D84" s="128" t="s">
        <v>2303</v>
      </c>
      <c r="E84" s="1" t="b">
        <v>1</v>
      </c>
      <c r="F84" s="130" t="b">
        <v>0</v>
      </c>
      <c r="G84" s="129" t="s">
        <v>2334</v>
      </c>
      <c r="H84" s="131" t="str">
        <f ca="1">IFERROR(VLOOKUP(DB_TBL_DATA_FIELDS[[#This Row],[FIELD_ID]],INDIRECT(DB_TBL_DATA_FIELDS[[#This Row],[SHEET_REF_CALC]]&amp;"!A:B"),2,FALSE),"")</f>
        <v/>
      </c>
      <c r="I84" s="14" t="str">
        <f ca="1">IF(NOT(DB_TBL_DATA_FIELDS[[#This Row],[FIELD_EMPTY_FLAG]]),DB_TBL_DATA_FIELDS[[#This Row],[FIELD_REQ_FLAG]],"")</f>
        <v/>
      </c>
      <c r="J84" s="2" t="b">
        <f ca="1">(DB_TBL_DATA_FIELDS[[#This Row],[FIELD_VALUE_RAW]]="")</f>
        <v>1</v>
      </c>
      <c r="K84" s="2" t="s">
        <v>42</v>
      </c>
      <c r="L84" s="1" t="b">
        <f ca="1">AND(IF(DB_TBL_DATA_FIELDS[[#This Row],[FIELD_VALID_CUSTOM_LOGIC]]="",TRUE,DB_TBL_DATA_FIELDS[[#This Row],[FIELD_VALID_CUSTOM_LOGIC]]),DB_TBL_DATA_FIELDS[[#This Row],[RANGE_VALIDATION_PASSED_FLAG]])</f>
        <v>0</v>
      </c>
      <c r="M84"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84" s="1" t="str">
        <f>IF(DB_TBL_DATA_FIELDS[[#This Row],[SHEET_REF_CALC]]="","",IF(DB_TBL_DATA_FIELDS[[#This Row],[FIELD_EMPTY_FLAG]],IF(NOT(DB_TBL_DATA_FIELDS[[#This Row],[FIELD_REQ_FLAG]]),-1,1),IF(NOT(DB_TBL_DATA_FIELDS[[#This Row],[FIELD_VALID_FLAG]]),0,2)))</f>
        <v/>
      </c>
      <c r="O84" s="1" t="str">
        <f>IFERROR(VLOOKUP(DB_TBL_DATA_FIELDS[[#This Row],[FIELD_STATUS_CODE]],DB_TBL_CONFIG_FIELDSTATUSCODES[#All],3,FALSE),"")</f>
        <v/>
      </c>
      <c r="P84" s="1" t="str">
        <f>IFERROR(VLOOKUP(DB_TBL_DATA_FIELDS[[#This Row],[FIELD_STATUS_CODE]],DB_TBL_CONFIG_FIELDSTATUSCODES[#All],4,FALSE),"")</f>
        <v/>
      </c>
      <c r="Q84" s="1" t="b">
        <f>TRUE</f>
        <v>1</v>
      </c>
      <c r="R84" s="1" t="b">
        <f>TRUE</f>
        <v>1</v>
      </c>
      <c r="S84" s="1" t="s">
        <v>42</v>
      </c>
      <c r="T84" s="1">
        <f ca="1">IF(DB_TBL_DATA_FIELDS[[#This Row],[RANGE_VALIDATION_FLAG]]="Text",LEN(DB_TBL_DATA_FIELDS[[#This Row],[FIELD_VALUE_RAW]]),IFERROR(VALUE(DB_TBL_DATA_FIELDS[[#This Row],[FIELD_VALUE_RAW]]),-1))</f>
        <v>-1</v>
      </c>
      <c r="U84" s="1">
        <v>0</v>
      </c>
      <c r="V84" s="1">
        <v>10</v>
      </c>
      <c r="W84" s="1" t="b">
        <f ca="1">IF(NOT(DB_TBL_DATA_FIELDS[[#This Row],[RANGE_VALIDATION_ON_FLAG]]),TRUE,
AND(DB_TBL_DATA_FIELDS[[#This Row],[RANGE_VALUE_LEN]]&gt;=DB_TBL_DATA_FIELDS[[#This Row],[RANGE_VALIDATION_MIN]],DB_TBL_DATA_FIELDS[[#This Row],[RANGE_VALUE_LEN]]&lt;=DB_TBL_DATA_FIELDS[[#This Row],[RANGE_VALIDATION_MAX]]))</f>
        <v>0</v>
      </c>
      <c r="X84" s="1">
        <v>1</v>
      </c>
      <c r="Y84" s="1" t="str">
        <f>IF(DB_TBL_DATA_FIELDS[[#This Row],[PCT_CALC_SHOW_STATUS_CODE]]=1,
DB_TBL_DATA_FIELDS[[#This Row],[FIELD_STATUS_CODE]],
IF(AND(DB_TBL_DATA_FIELDS[[#This Row],[PCT_CALC_SHOW_STATUS_CODE]]=2,DB_TBL_DATA_FIELDS[[#This Row],[FIELD_STATUS_CODE]]=0),
DB_TBL_DATA_FIELDS[[#This Row],[FIELD_STATUS_CODE]],
"")
)</f>
        <v/>
      </c>
      <c r="AA84" s="2">
        <v>40</v>
      </c>
      <c r="AB84" s="2" t="s">
        <v>2341</v>
      </c>
    </row>
    <row r="85" spans="1:29" x14ac:dyDescent="0.3">
      <c r="A85" s="128"/>
      <c r="B85" s="128"/>
      <c r="C85" s="128" t="str">
        <f>IF($H$9&lt;&gt;"I",IF(DB_TBL_DATA_FIELDS[[#This Row],[SHEET_REF_WISH]]&lt;&gt;"",DB_TBL_DATA_FIELDS[[#This Row],[SHEET_REF_WISH]],""),IF(DB_TBL_DATA_FIELDS[[#This Row],[SHEET_REF_IDEA]]&lt;&gt;"",DB_TBL_DATA_FIELDS[[#This Row],[SHEET_REF_IDEA]],""))</f>
        <v/>
      </c>
      <c r="D85" s="128" t="s">
        <v>2304</v>
      </c>
      <c r="E85" s="1" t="b">
        <v>1</v>
      </c>
      <c r="F85" s="130" t="b">
        <v>0</v>
      </c>
      <c r="G85" s="129" t="s">
        <v>2335</v>
      </c>
      <c r="H85" s="131" t="str">
        <f ca="1">IFERROR(VLOOKUP(DB_TBL_DATA_FIELDS[[#This Row],[FIELD_ID]],INDIRECT(DB_TBL_DATA_FIELDS[[#This Row],[SHEET_REF_CALC]]&amp;"!A:B"),2,FALSE),"")</f>
        <v/>
      </c>
      <c r="I85" s="14" t="str">
        <f ca="1">IF(NOT(DB_TBL_DATA_FIELDS[[#This Row],[FIELD_EMPTY_FLAG]]),DB_TBL_DATA_FIELDS[[#This Row],[FIELD_REQ_FLAG]],"")</f>
        <v/>
      </c>
      <c r="J85" s="2" t="b">
        <f ca="1">(DB_TBL_DATA_FIELDS[[#This Row],[FIELD_VALUE_RAW]]="")</f>
        <v>1</v>
      </c>
      <c r="K85" s="2" t="s">
        <v>11</v>
      </c>
      <c r="L85" s="1" t="b">
        <f ca="1">AND(IF(DB_TBL_DATA_FIELDS[[#This Row],[FIELD_VALID_CUSTOM_LOGIC]]="",TRUE,DB_TBL_DATA_FIELDS[[#This Row],[FIELD_VALID_CUSTOM_LOGIC]]),DB_TBL_DATA_FIELDS[[#This Row],[RANGE_VALIDATION_PASSED_FLAG]])</f>
        <v>1</v>
      </c>
      <c r="M85"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85" s="1" t="str">
        <f>IF(DB_TBL_DATA_FIELDS[[#This Row],[SHEET_REF_CALC]]="","",IF(DB_TBL_DATA_FIELDS[[#This Row],[FIELD_EMPTY_FLAG]],IF(NOT(DB_TBL_DATA_FIELDS[[#This Row],[FIELD_REQ_FLAG]]),-1,1),IF(NOT(DB_TBL_DATA_FIELDS[[#This Row],[FIELD_VALID_FLAG]]),0,2)))</f>
        <v/>
      </c>
      <c r="O85" s="1" t="str">
        <f>IFERROR(VLOOKUP(DB_TBL_DATA_FIELDS[[#This Row],[FIELD_STATUS_CODE]],DB_TBL_CONFIG_FIELDSTATUSCODES[#All],3,FALSE),"")</f>
        <v/>
      </c>
      <c r="P85" s="1" t="str">
        <f>IFERROR(VLOOKUP(DB_TBL_DATA_FIELDS[[#This Row],[FIELD_STATUS_CODE]],DB_TBL_CONFIG_FIELDSTATUSCODES[#All],4,FALSE),"")</f>
        <v/>
      </c>
      <c r="Q85" s="1" t="b">
        <f>TRUE</f>
        <v>1</v>
      </c>
      <c r="R85" s="1" t="b">
        <f>TRUE</f>
        <v>1</v>
      </c>
      <c r="S85" s="1" t="s">
        <v>11</v>
      </c>
      <c r="T85" s="1">
        <f ca="1">IF(DB_TBL_DATA_FIELDS[[#This Row],[RANGE_VALIDATION_FLAG]]="Text",LEN(DB_TBL_DATA_FIELDS[[#This Row],[FIELD_VALUE_RAW]]),IFERROR(VALUE(DB_TBL_DATA_FIELDS[[#This Row],[FIELD_VALUE_RAW]]),-1))</f>
        <v>0</v>
      </c>
      <c r="U85" s="1">
        <v>0</v>
      </c>
      <c r="V85" s="1">
        <v>50</v>
      </c>
      <c r="W85" s="1" t="b">
        <f ca="1">IF(NOT(DB_TBL_DATA_FIELDS[[#This Row],[RANGE_VALIDATION_ON_FLAG]]),TRUE,
AND(DB_TBL_DATA_FIELDS[[#This Row],[RANGE_VALUE_LEN]]&gt;=DB_TBL_DATA_FIELDS[[#This Row],[RANGE_VALIDATION_MIN]],DB_TBL_DATA_FIELDS[[#This Row],[RANGE_VALUE_LEN]]&lt;=DB_TBL_DATA_FIELDS[[#This Row],[RANGE_VALIDATION_MAX]]))</f>
        <v>1</v>
      </c>
      <c r="X85" s="1">
        <v>1</v>
      </c>
      <c r="Y85" s="1" t="str">
        <f>IF(DB_TBL_DATA_FIELDS[[#This Row],[PCT_CALC_SHOW_STATUS_CODE]]=1,
DB_TBL_DATA_FIELDS[[#This Row],[FIELD_STATUS_CODE]],
IF(AND(DB_TBL_DATA_FIELDS[[#This Row],[PCT_CALC_SHOW_STATUS_CODE]]=2,DB_TBL_DATA_FIELDS[[#This Row],[FIELD_STATUS_CODE]]=0),
DB_TBL_DATA_FIELDS[[#This Row],[FIELD_STATUS_CODE]],
"")
)</f>
        <v/>
      </c>
      <c r="AA85" s="2">
        <v>41</v>
      </c>
      <c r="AB85" s="2" t="s">
        <v>2341</v>
      </c>
    </row>
    <row r="86" spans="1:29" x14ac:dyDescent="0.3">
      <c r="A86" s="128"/>
      <c r="B86" s="128"/>
      <c r="C86" s="128" t="str">
        <f>IF($H$9&lt;&gt;"I",IF(DB_TBL_DATA_FIELDS[[#This Row],[SHEET_REF_WISH]]&lt;&gt;"",DB_TBL_DATA_FIELDS[[#This Row],[SHEET_REF_WISH]],""),IF(DB_TBL_DATA_FIELDS[[#This Row],[SHEET_REF_IDEA]]&lt;&gt;"",DB_TBL_DATA_FIELDS[[#This Row],[SHEET_REF_IDEA]],""))</f>
        <v/>
      </c>
      <c r="D86" s="128" t="s">
        <v>2305</v>
      </c>
      <c r="E86" s="1" t="b">
        <v>1</v>
      </c>
      <c r="F86" s="130" t="b">
        <v>0</v>
      </c>
      <c r="G86" s="129" t="s">
        <v>2336</v>
      </c>
      <c r="H86" s="131" t="str">
        <f ca="1">IFERROR(VLOOKUP(DB_TBL_DATA_FIELDS[[#This Row],[FIELD_ID]],INDIRECT(DB_TBL_DATA_FIELDS[[#This Row],[SHEET_REF_CALC]]&amp;"!A:B"),2,FALSE),"")</f>
        <v/>
      </c>
      <c r="I86" s="14" t="str">
        <f ca="1">IF(NOT(DB_TBL_DATA_FIELDS[[#This Row],[FIELD_EMPTY_FLAG]]),AND(DB_TBL_DATA_FIELDS[[#This Row],[FIELD_REQ_FLAG]],DB_TBL_DATA_FIELDS[[#This Row],[FIELD_VALUE_RAW]]&gt;0),"")</f>
        <v/>
      </c>
      <c r="J86" s="2" t="b">
        <f ca="1">(DB_TBL_DATA_FIELDS[[#This Row],[FIELD_VALUE_RAW]]="")</f>
        <v>1</v>
      </c>
      <c r="K86" s="2" t="s">
        <v>42</v>
      </c>
      <c r="L86" s="1" t="b">
        <f ca="1">AND(IF(DB_TBL_DATA_FIELDS[[#This Row],[FIELD_VALID_CUSTOM_LOGIC]]="",TRUE,DB_TBL_DATA_FIELDS[[#This Row],[FIELD_VALID_CUSTOM_LOGIC]]),DB_TBL_DATA_FIELDS[[#This Row],[RANGE_VALIDATION_PASSED_FLAG]])</f>
        <v>0</v>
      </c>
      <c r="M86"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86" s="1" t="str">
        <f>IF(DB_TBL_DATA_FIELDS[[#This Row],[SHEET_REF_CALC]]="","",IF(DB_TBL_DATA_FIELDS[[#This Row],[FIELD_EMPTY_FLAG]],IF(NOT(DB_TBL_DATA_FIELDS[[#This Row],[FIELD_REQ_FLAG]]),-1,1),IF(NOT(DB_TBL_DATA_FIELDS[[#This Row],[FIELD_VALID_FLAG]]),0,2)))</f>
        <v/>
      </c>
      <c r="O86" s="1" t="str">
        <f>IFERROR(VLOOKUP(DB_TBL_DATA_FIELDS[[#This Row],[FIELD_STATUS_CODE]],DB_TBL_CONFIG_FIELDSTATUSCODES[#All],3,FALSE),"")</f>
        <v/>
      </c>
      <c r="P86" s="1" t="str">
        <f>IFERROR(VLOOKUP(DB_TBL_DATA_FIELDS[[#This Row],[FIELD_STATUS_CODE]],DB_TBL_CONFIG_FIELDSTATUSCODES[#All],4,FALSE),"")</f>
        <v/>
      </c>
      <c r="Q86" s="1" t="b">
        <f>TRUE</f>
        <v>1</v>
      </c>
      <c r="R86" s="1" t="b">
        <f>TRUE</f>
        <v>1</v>
      </c>
      <c r="S86" s="1" t="s">
        <v>42</v>
      </c>
      <c r="T86" s="1">
        <f ca="1">IF(DB_TBL_DATA_FIELDS[[#This Row],[RANGE_VALIDATION_FLAG]]="Text",LEN(DB_TBL_DATA_FIELDS[[#This Row],[FIELD_VALUE_RAW]]),IFERROR(VALUE(DB_TBL_DATA_FIELDS[[#This Row],[FIELD_VALUE_RAW]]),-1))</f>
        <v>-1</v>
      </c>
      <c r="U86" s="1">
        <v>0</v>
      </c>
      <c r="V86" s="1">
        <v>999</v>
      </c>
      <c r="W86" s="1" t="b">
        <f ca="1">IF(NOT(DB_TBL_DATA_FIELDS[[#This Row],[RANGE_VALIDATION_ON_FLAG]]),TRUE,
AND(DB_TBL_DATA_FIELDS[[#This Row],[RANGE_VALUE_LEN]]&gt;=DB_TBL_DATA_FIELDS[[#This Row],[RANGE_VALIDATION_MIN]],DB_TBL_DATA_FIELDS[[#This Row],[RANGE_VALUE_LEN]]&lt;=DB_TBL_DATA_FIELDS[[#This Row],[RANGE_VALIDATION_MAX]]))</f>
        <v>0</v>
      </c>
      <c r="X86" s="1">
        <v>1</v>
      </c>
      <c r="Y86" s="1" t="str">
        <f>IF(DB_TBL_DATA_FIELDS[[#This Row],[PCT_CALC_SHOW_STATUS_CODE]]=1,
DB_TBL_DATA_FIELDS[[#This Row],[FIELD_STATUS_CODE]],
IF(AND(DB_TBL_DATA_FIELDS[[#This Row],[PCT_CALC_SHOW_STATUS_CODE]]=2,DB_TBL_DATA_FIELDS[[#This Row],[FIELD_STATUS_CODE]]=0),
DB_TBL_DATA_FIELDS[[#This Row],[FIELD_STATUS_CODE]],
"")
)</f>
        <v/>
      </c>
      <c r="Z86" s="36" t="str">
        <f>IF(DB_TBL_DATA_FIELDS[[#This Row],[FIELD_STATUS_CODE]]=0,IF(AND(NOT(DB_TBL_DATA_FIELDS[[#This Row],[FIELD_VALID_CUSTOM_LOGIC]]),DB_TBL_DATA_FIELDS[[#This Row],[FIELD_REQ_FLAG]]),
"Second Mortgage should be reported in 'Other Grant(s) or Mortgage Assistance' section",""),"")</f>
        <v/>
      </c>
      <c r="AA86" s="2">
        <v>42</v>
      </c>
      <c r="AB86" s="2" t="s">
        <v>2341</v>
      </c>
    </row>
    <row r="87" spans="1:29" x14ac:dyDescent="0.3">
      <c r="A87" s="128"/>
      <c r="B87" s="128"/>
      <c r="C87" s="128" t="str">
        <f>IF($H$9&lt;&gt;"I",IF(DB_TBL_DATA_FIELDS[[#This Row],[SHEET_REF_WISH]]&lt;&gt;"",DB_TBL_DATA_FIELDS[[#This Row],[SHEET_REF_WISH]],""),IF(DB_TBL_DATA_FIELDS[[#This Row],[SHEET_REF_IDEA]]&lt;&gt;"",DB_TBL_DATA_FIELDS[[#This Row],[SHEET_REF_IDEA]],""))</f>
        <v/>
      </c>
      <c r="D87" s="128" t="s">
        <v>2306</v>
      </c>
      <c r="E87" s="1" t="b">
        <v>1</v>
      </c>
      <c r="F87" s="130" t="b">
        <v>0</v>
      </c>
      <c r="G87" s="129" t="s">
        <v>2337</v>
      </c>
      <c r="H87" s="129" t="str">
        <f>""</f>
        <v/>
      </c>
      <c r="I87" s="14" t="str">
        <f>IF(NOT(DB_TBL_DATA_FIELDS[[#This Row],[FIELD_EMPTY_FLAG]]),DB_TBL_DATA_FIELDS[[#This Row],[FIELD_REQ_FLAG]],"")</f>
        <v/>
      </c>
      <c r="J87" s="2" t="b">
        <f>(DB_TBL_DATA_FIELDS[[#This Row],[FIELD_VALUE_RAW]]="")</f>
        <v>1</v>
      </c>
      <c r="K87" s="2" t="s">
        <v>144</v>
      </c>
      <c r="L87" s="1" t="b">
        <f>AND(IF(DB_TBL_DATA_FIELDS[[#This Row],[FIELD_VALID_CUSTOM_LOGIC]]="",TRUE,DB_TBL_DATA_FIELDS[[#This Row],[FIELD_VALID_CUSTOM_LOGIC]]),DB_TBL_DATA_FIELDS[[#This Row],[RANGE_VALIDATION_PASSED_FLAG]])</f>
        <v>1</v>
      </c>
      <c r="M87" s="2" t="str">
        <f>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87" s="1" t="str">
        <f>IF(DB_TBL_DATA_FIELDS[[#This Row],[SHEET_REF_CALC]]="","",IF(DB_TBL_DATA_FIELDS[[#This Row],[FIELD_EMPTY_FLAG]],IF(NOT(DB_TBL_DATA_FIELDS[[#This Row],[FIELD_REQ_FLAG]]),-1,1),IF(NOT(DB_TBL_DATA_FIELDS[[#This Row],[FIELD_VALID_FLAG]]),0,2)))</f>
        <v/>
      </c>
      <c r="O87" s="1" t="str">
        <f>IFERROR(VLOOKUP(DB_TBL_DATA_FIELDS[[#This Row],[FIELD_STATUS_CODE]],DB_TBL_CONFIG_FIELDSTATUSCODES[#All],3,FALSE),"")</f>
        <v/>
      </c>
      <c r="P87" s="1" t="str">
        <f>IFERROR(VLOOKUP(DB_TBL_DATA_FIELDS[[#This Row],[FIELD_STATUS_CODE]],DB_TBL_CONFIG_FIELDSTATUSCODES[#All],4,FALSE),"")</f>
        <v/>
      </c>
      <c r="Q87" s="1" t="b">
        <f>TRUE</f>
        <v>1</v>
      </c>
      <c r="R87" s="1" t="b">
        <v>0</v>
      </c>
      <c r="T87" s="1">
        <f>IF(DB_TBL_DATA_FIELDS[[#This Row],[RANGE_VALIDATION_FLAG]]="Text",LEN(DB_TBL_DATA_FIELDS[[#This Row],[FIELD_VALUE_RAW]]),IFERROR(VALUE(DB_TBL_DATA_FIELDS[[#This Row],[FIELD_VALUE_RAW]]),-1))</f>
        <v>-1</v>
      </c>
      <c r="U87" s="1">
        <v>0</v>
      </c>
      <c r="V87" s="1">
        <v>1</v>
      </c>
      <c r="W87" s="1" t="b">
        <f>IF(NOT(DB_TBL_DATA_FIELDS[[#This Row],[RANGE_VALIDATION_ON_FLAG]]),TRUE,
AND(DB_TBL_DATA_FIELDS[[#This Row],[RANGE_VALUE_LEN]]&gt;=DB_TBL_DATA_FIELDS[[#This Row],[RANGE_VALIDATION_MIN]],DB_TBL_DATA_FIELDS[[#This Row],[RANGE_VALUE_LEN]]&lt;=DB_TBL_DATA_FIELDS[[#This Row],[RANGE_VALIDATION_MAX]]))</f>
        <v>1</v>
      </c>
      <c r="X87" s="1">
        <v>1</v>
      </c>
      <c r="Y87" s="1" t="str">
        <f>IF(DB_TBL_DATA_FIELDS[[#This Row],[PCT_CALC_SHOW_STATUS_CODE]]=1,
DB_TBL_DATA_FIELDS[[#This Row],[FIELD_STATUS_CODE]],
IF(AND(DB_TBL_DATA_FIELDS[[#This Row],[PCT_CALC_SHOW_STATUS_CODE]]=2,DB_TBL_DATA_FIELDS[[#This Row],[FIELD_STATUS_CODE]]=0),
DB_TBL_DATA_FIELDS[[#This Row],[FIELD_STATUS_CODE]],
"")
)</f>
        <v/>
      </c>
      <c r="AA87" s="2">
        <v>43</v>
      </c>
      <c r="AB87" s="2" t="s">
        <v>2341</v>
      </c>
      <c r="AC87" s="1" t="s">
        <v>2443</v>
      </c>
    </row>
    <row r="88" spans="1:29" ht="13.5" thickBot="1" x14ac:dyDescent="0.35">
      <c r="A88" s="132"/>
      <c r="B88" s="132"/>
      <c r="C88" s="132" t="str">
        <f>IF($H$9&lt;&gt;"I",IF(DB_TBL_DATA_FIELDS[[#This Row],[SHEET_REF_WISH]]&lt;&gt;"",DB_TBL_DATA_FIELDS[[#This Row],[SHEET_REF_WISH]],""),IF(DB_TBL_DATA_FIELDS[[#This Row],[SHEET_REF_IDEA]]&lt;&gt;"",DB_TBL_DATA_FIELDS[[#This Row],[SHEET_REF_IDEA]],""))</f>
        <v/>
      </c>
      <c r="D88" s="132" t="s">
        <v>2307</v>
      </c>
      <c r="E88" s="30" t="b">
        <v>0</v>
      </c>
      <c r="F88" s="130" t="b">
        <v>0</v>
      </c>
      <c r="G88" s="133" t="s">
        <v>2338</v>
      </c>
      <c r="H88" s="133" t="str">
        <f>""</f>
        <v/>
      </c>
      <c r="I88" s="34" t="str">
        <f>IF(NOT(DB_TBL_DATA_FIELDS[[#This Row],[FIELD_EMPTY_FLAG]]),DB_TBL_DATA_FIELDS[[#This Row],[FIELD_REQ_FLAG]],"")</f>
        <v/>
      </c>
      <c r="J88" s="33" t="b">
        <f>(DB_TBL_DATA_FIELDS[[#This Row],[FIELD_VALUE_RAW]]="")</f>
        <v>1</v>
      </c>
      <c r="K88" s="33" t="s">
        <v>11</v>
      </c>
      <c r="L88" s="30" t="b">
        <f>AND(IF(DB_TBL_DATA_FIELDS[[#This Row],[FIELD_VALID_CUSTOM_LOGIC]]="",TRUE,DB_TBL_DATA_FIELDS[[#This Row],[FIELD_VALID_CUSTOM_LOGIC]]),DB_TBL_DATA_FIELDS[[#This Row],[RANGE_VALIDATION_PASSED_FLAG]])</f>
        <v>1</v>
      </c>
      <c r="M88" s="33" t="str">
        <f>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88" s="30" t="str">
        <f>IF(DB_TBL_DATA_FIELDS[[#This Row],[SHEET_REF_CALC]]="","",IF(DB_TBL_DATA_FIELDS[[#This Row],[FIELD_EMPTY_FLAG]],IF(NOT(DB_TBL_DATA_FIELDS[[#This Row],[FIELD_REQ_FLAG]]),-1,1),IF(NOT(DB_TBL_DATA_FIELDS[[#This Row],[FIELD_VALID_FLAG]]),0,2)))</f>
        <v/>
      </c>
      <c r="O88" s="30" t="str">
        <f>IFERROR(VLOOKUP(DB_TBL_DATA_FIELDS[[#This Row],[FIELD_STATUS_CODE]],DB_TBL_CONFIG_FIELDSTATUSCODES[#All],3,FALSE),"")</f>
        <v/>
      </c>
      <c r="P88" s="30" t="str">
        <f>IFERROR(VLOOKUP(DB_TBL_DATA_FIELDS[[#This Row],[FIELD_STATUS_CODE]],DB_TBL_CONFIG_FIELDSTATUSCODES[#All],4,FALSE),"")</f>
        <v/>
      </c>
      <c r="Q88" s="30" t="b">
        <f>TRUE</f>
        <v>1</v>
      </c>
      <c r="R88" s="30" t="b">
        <f>TRUE</f>
        <v>1</v>
      </c>
      <c r="S88" s="30" t="s">
        <v>11</v>
      </c>
      <c r="T88" s="30">
        <f>IF(DB_TBL_DATA_FIELDS[[#This Row],[RANGE_VALIDATION_FLAG]]="Text",LEN(DB_TBL_DATA_FIELDS[[#This Row],[FIELD_VALUE_RAW]]),IFERROR(VALUE(DB_TBL_DATA_FIELDS[[#This Row],[FIELD_VALUE_RAW]]),-1))</f>
        <v>0</v>
      </c>
      <c r="U88" s="30">
        <v>0</v>
      </c>
      <c r="V88" s="30">
        <v>400</v>
      </c>
      <c r="W88" s="30" t="b">
        <f>IF(NOT(DB_TBL_DATA_FIELDS[[#This Row],[RANGE_VALIDATION_ON_FLAG]]),TRUE,
AND(DB_TBL_DATA_FIELDS[[#This Row],[RANGE_VALUE_LEN]]&gt;=DB_TBL_DATA_FIELDS[[#This Row],[RANGE_VALIDATION_MIN]],DB_TBL_DATA_FIELDS[[#This Row],[RANGE_VALUE_LEN]]&lt;=DB_TBL_DATA_FIELDS[[#This Row],[RANGE_VALIDATION_MAX]]))</f>
        <v>1</v>
      </c>
      <c r="X88" s="30">
        <v>1</v>
      </c>
      <c r="Y88" s="30" t="str">
        <f>IF(DB_TBL_DATA_FIELDS[[#This Row],[PCT_CALC_SHOW_STATUS_CODE]]=1,
DB_TBL_DATA_FIELDS[[#This Row],[FIELD_STATUS_CODE]],
IF(AND(DB_TBL_DATA_FIELDS[[#This Row],[PCT_CALC_SHOW_STATUS_CODE]]=2,DB_TBL_DATA_FIELDS[[#This Row],[FIELD_STATUS_CODE]]=0),
DB_TBL_DATA_FIELDS[[#This Row],[FIELD_STATUS_CODE]],
"")
)</f>
        <v/>
      </c>
      <c r="Z88" s="30"/>
      <c r="AA88" s="33">
        <v>44</v>
      </c>
      <c r="AB88" s="33" t="s">
        <v>2341</v>
      </c>
      <c r="AC88" s="30" t="s">
        <v>2443</v>
      </c>
    </row>
    <row r="89" spans="1:29" x14ac:dyDescent="0.3">
      <c r="A89" s="1" t="s">
        <v>2226</v>
      </c>
      <c r="B89" s="128" t="s">
        <v>2227</v>
      </c>
      <c r="C89" s="1" t="str">
        <f>IF($H$9&lt;&gt;"I",IF(DB_TBL_DATA_FIELDS[[#This Row],[SHEET_REF_WISH]]&lt;&gt;"",DB_TBL_DATA_FIELDS[[#This Row],[SHEET_REF_WISH]],""),IF(DB_TBL_DATA_FIELDS[[#This Row],[SHEET_REF_IDEA]]&lt;&gt;"",DB_TBL_DATA_FIELDS[[#This Row],[SHEET_REF_IDEA]],""))</f>
        <v>WISH</v>
      </c>
      <c r="D89" s="1" t="s">
        <v>2347</v>
      </c>
      <c r="E89" s="1" t="b">
        <v>0</v>
      </c>
      <c r="F89" s="11" t="b">
        <v>1</v>
      </c>
      <c r="G89" s="2" t="s">
        <v>2348</v>
      </c>
      <c r="H89" s="2" t="str">
        <f ca="1">IFERROR(VLOOKUP(DB_TBL_DATA_FIELDS[[#This Row],[FIELD_ID]],INDIRECT(DB_TBL_DATA_FIELDS[[#This Row],[SHEET_REF_CALC]]&amp;"!A:B"),2,FALSE),"")</f>
        <v/>
      </c>
      <c r="J89" s="2" t="b">
        <f ca="1">(DB_TBL_DATA_FIELDS[[#This Row],[FIELD_VALUE_RAW]]="")</f>
        <v>1</v>
      </c>
      <c r="K89" s="2" t="s">
        <v>144</v>
      </c>
      <c r="L89" s="1" t="b">
        <f>AND(IF(DB_TBL_DATA_FIELDS[[#This Row],[FIELD_VALID_CUSTOM_LOGIC]]="",TRUE,DB_TBL_DATA_FIELDS[[#This Row],[FIELD_VALID_CUSTOM_LOGIC]]),DB_TBL_DATA_FIELDS[[#This Row],[RANGE_VALIDATION_PASSED_FLAG]])</f>
        <v>1</v>
      </c>
      <c r="M89"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89" s="1">
        <f ca="1">IF(DB_TBL_DATA_FIELDS[[#This Row],[SHEET_REF_CALC]]="","",IF(DB_TBL_DATA_FIELDS[[#This Row],[FIELD_EMPTY_FLAG]],IF(NOT(DB_TBL_DATA_FIELDS[[#This Row],[FIELD_REQ_FLAG]]),-1,1),IF(NOT(DB_TBL_DATA_FIELDS[[#This Row],[FIELD_VALID_FLAG]]),0,2)))</f>
        <v>1</v>
      </c>
      <c r="O89" s="1" t="str">
        <f ca="1">IFERROR(VLOOKUP(DB_TBL_DATA_FIELDS[[#This Row],[FIELD_STATUS_CODE]],DB_TBL_CONFIG_FIELDSTATUSCODES[#All],3,FALSE),"")</f>
        <v>Required</v>
      </c>
      <c r="P89" s="1" t="str">
        <f ca="1">IFERROR(VLOOKUP(DB_TBL_DATA_FIELDS[[#This Row],[FIELD_STATUS_CODE]],DB_TBL_CONFIG_FIELDSTATUSCODES[#All],4,FALSE),"")</f>
        <v>i</v>
      </c>
      <c r="Q89" s="1" t="b">
        <f>TRUE</f>
        <v>1</v>
      </c>
      <c r="T89" s="1">
        <f ca="1">IF(DB_TBL_DATA_FIELDS[[#This Row],[RANGE_VALIDATION_FLAG]]="Text",LEN(DB_TBL_DATA_FIELDS[[#This Row],[FIELD_VALUE_RAW]]),IFERROR(VALUE(DB_TBL_DATA_FIELDS[[#This Row],[FIELD_VALUE_RAW]]),-1))</f>
        <v>-1</v>
      </c>
      <c r="U89" s="1">
        <v>0</v>
      </c>
      <c r="V89" s="1">
        <v>1</v>
      </c>
      <c r="W89" s="1" t="b">
        <f>IF(NOT(DB_TBL_DATA_FIELDS[[#This Row],[RANGE_VALIDATION_ON_FLAG]]),TRUE,
AND(DB_TBL_DATA_FIELDS[[#This Row],[RANGE_VALUE_LEN]]&gt;=DB_TBL_DATA_FIELDS[[#This Row],[RANGE_VALIDATION_MIN]],DB_TBL_DATA_FIELDS[[#This Row],[RANGE_VALUE_LEN]]&lt;=DB_TBL_DATA_FIELDS[[#This Row],[RANGE_VALIDATION_MAX]]))</f>
        <v>1</v>
      </c>
      <c r="X89" s="1">
        <v>1</v>
      </c>
      <c r="Y89" s="1">
        <f ca="1">IF(DB_TBL_DATA_FIELDS[[#This Row],[PCT_CALC_SHOW_STATUS_CODE]]=1,
DB_TBL_DATA_FIELDS[[#This Row],[FIELD_STATUS_CODE]],
IF(AND(DB_TBL_DATA_FIELDS[[#This Row],[PCT_CALC_SHOW_STATUS_CODE]]=2,DB_TBL_DATA_FIELDS[[#This Row],[FIELD_STATUS_CODE]]=0),
DB_TBL_DATA_FIELDS[[#This Row],[FIELD_STATUS_CODE]],
"")
)</f>
        <v>1</v>
      </c>
      <c r="AA89" s="2">
        <v>45</v>
      </c>
      <c r="AB89" s="2" t="s">
        <v>2370</v>
      </c>
    </row>
    <row r="90" spans="1:29" x14ac:dyDescent="0.3">
      <c r="A90" s="1" t="s">
        <v>2226</v>
      </c>
      <c r="B90" s="128" t="s">
        <v>2227</v>
      </c>
      <c r="C90" s="1" t="str">
        <f>IF($H$9&lt;&gt;"I",IF(DB_TBL_DATA_FIELDS[[#This Row],[SHEET_REF_WISH]]&lt;&gt;"",DB_TBL_DATA_FIELDS[[#This Row],[SHEET_REF_WISH]],""),IF(DB_TBL_DATA_FIELDS[[#This Row],[SHEET_REF_IDEA]]&lt;&gt;"",DB_TBL_DATA_FIELDS[[#This Row],[SHEET_REF_IDEA]],""))</f>
        <v>WISH</v>
      </c>
      <c r="D90" s="1" t="s">
        <v>2349</v>
      </c>
      <c r="E90" s="1" t="b">
        <v>0</v>
      </c>
      <c r="F90" s="22" t="b">
        <f ca="1">IF(OTHER_GRANTS_FLAG=TRUE,TRUE,FALSE)</f>
        <v>0</v>
      </c>
      <c r="G90" s="2" t="s">
        <v>2365</v>
      </c>
      <c r="H90" s="2" t="str">
        <f ca="1">IFERROR(VLOOKUP(DB_TBL_DATA_FIELDS[[#This Row],[FIELD_ID]],INDIRECT(DB_TBL_DATA_FIELDS[[#This Row],[SHEET_REF_CALC]]&amp;"!A:B"),2,FALSE),"")</f>
        <v/>
      </c>
      <c r="I90" s="14" t="str">
        <f ca="1">IF(NOT(DB_TBL_DATA_FIELDS[[#This Row],[FIELD_EMPTY_FLAG]]),OTHER_GRANTS_FLAG=TRUE,"")</f>
        <v/>
      </c>
      <c r="J90" s="2" t="b">
        <f ca="1">(DB_TBL_DATA_FIELDS[[#This Row],[FIELD_VALUE_RAW]]="")</f>
        <v>1</v>
      </c>
      <c r="K90" s="2" t="s">
        <v>11</v>
      </c>
      <c r="L90" s="1" t="b">
        <f ca="1">AND(IF(DB_TBL_DATA_FIELDS[[#This Row],[FIELD_VALID_CUSTOM_LOGIC]]="",TRUE,DB_TBL_DATA_FIELDS[[#This Row],[FIELD_VALID_CUSTOM_LOGIC]]),DB_TBL_DATA_FIELDS[[#This Row],[RANGE_VALIDATION_PASSED_FLAG]])</f>
        <v>1</v>
      </c>
      <c r="M90"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90" s="1">
        <f ca="1">IF(DB_TBL_DATA_FIELDS[[#This Row],[SHEET_REF_CALC]]="","",IF(DB_TBL_DATA_FIELDS[[#This Row],[FIELD_EMPTY_FLAG]],IF(NOT(DB_TBL_DATA_FIELDS[[#This Row],[FIELD_REQ_FLAG]]),-1,1),IF(NOT(DB_TBL_DATA_FIELDS[[#This Row],[FIELD_VALID_FLAG]]),0,2)))</f>
        <v>-1</v>
      </c>
      <c r="O90" s="1" t="str">
        <f ca="1">IFERROR(VLOOKUP(DB_TBL_DATA_FIELDS[[#This Row],[FIELD_STATUS_CODE]],DB_TBL_CONFIG_FIELDSTATUSCODES[#All],3,FALSE),"")</f>
        <v>Optional</v>
      </c>
      <c r="P90" s="1" t="str">
        <f ca="1">IFERROR(VLOOKUP(DB_TBL_DATA_FIELDS[[#This Row],[FIELD_STATUS_CODE]],DB_TBL_CONFIG_FIELDSTATUSCODES[#All],4,FALSE),"")</f>
        <v xml:space="preserve"> </v>
      </c>
      <c r="Q90" s="1" t="b">
        <f>TRUE</f>
        <v>1</v>
      </c>
      <c r="R90" s="1" t="b">
        <f>TRUE</f>
        <v>1</v>
      </c>
      <c r="S90" s="1" t="s">
        <v>11</v>
      </c>
      <c r="T90" s="1">
        <f ca="1">IF(DB_TBL_DATA_FIELDS[[#This Row],[RANGE_VALIDATION_FLAG]]="Text",LEN(DB_TBL_DATA_FIELDS[[#This Row],[FIELD_VALUE_RAW]]),IFERROR(VALUE(DB_TBL_DATA_FIELDS[[#This Row],[FIELD_VALUE_RAW]]),-1))</f>
        <v>0</v>
      </c>
      <c r="U90" s="1">
        <v>0</v>
      </c>
      <c r="V90" s="1">
        <v>48</v>
      </c>
      <c r="W90" s="1" t="b">
        <f ca="1">IF(NOT(DB_TBL_DATA_FIELDS[[#This Row],[RANGE_VALIDATION_ON_FLAG]]),TRUE,
AND(DB_TBL_DATA_FIELDS[[#This Row],[RANGE_VALUE_LEN]]&gt;=DB_TBL_DATA_FIELDS[[#This Row],[RANGE_VALIDATION_MIN]],DB_TBL_DATA_FIELDS[[#This Row],[RANGE_VALUE_LEN]]&lt;=DB_TBL_DATA_FIELDS[[#This Row],[RANGE_VALIDATION_MAX]]))</f>
        <v>1</v>
      </c>
      <c r="X90" s="1">
        <v>1</v>
      </c>
      <c r="Y90" s="1">
        <f ca="1">IF(DB_TBL_DATA_FIELDS[[#This Row],[PCT_CALC_SHOW_STATUS_CODE]]=1,
DB_TBL_DATA_FIELDS[[#This Row],[FIELD_STATUS_CODE]],
IF(AND(DB_TBL_DATA_FIELDS[[#This Row],[PCT_CALC_SHOW_STATUS_CODE]]=2,DB_TBL_DATA_FIELDS[[#This Row],[FIELD_STATUS_CODE]]=0),
DB_TBL_DATA_FIELDS[[#This Row],[FIELD_STATUS_CODE]],
"")
)</f>
        <v>-1</v>
      </c>
      <c r="AA90" s="2">
        <v>46</v>
      </c>
      <c r="AB90" s="2" t="s">
        <v>2370</v>
      </c>
    </row>
    <row r="91" spans="1:29" x14ac:dyDescent="0.3">
      <c r="A91" s="1" t="s">
        <v>2226</v>
      </c>
      <c r="B91" s="128" t="s">
        <v>2227</v>
      </c>
      <c r="C91" s="1" t="str">
        <f>IF($H$9&lt;&gt;"I",IF(DB_TBL_DATA_FIELDS[[#This Row],[SHEET_REF_WISH]]&lt;&gt;"",DB_TBL_DATA_FIELDS[[#This Row],[SHEET_REF_WISH]],""),IF(DB_TBL_DATA_FIELDS[[#This Row],[SHEET_REF_IDEA]]&lt;&gt;"",DB_TBL_DATA_FIELDS[[#This Row],[SHEET_REF_IDEA]],""))</f>
        <v>WISH</v>
      </c>
      <c r="D91" s="1" t="s">
        <v>2350</v>
      </c>
      <c r="E91" s="1" t="b">
        <v>0</v>
      </c>
      <c r="F91" s="11" t="b">
        <v>0</v>
      </c>
      <c r="G91" s="2" t="s">
        <v>2366</v>
      </c>
      <c r="H91" s="2" t="str">
        <f ca="1">IFERROR(VLOOKUP(DB_TBL_DATA_FIELDS[[#This Row],[FIELD_ID]],INDIRECT(DB_TBL_DATA_FIELDS[[#This Row],[SHEET_REF_CALC]]&amp;"!A:B"),2,FALSE),"")</f>
        <v/>
      </c>
      <c r="I91" s="104" t="str">
        <f ca="1">IF(DB_TBL_DATA_FIELDS[[#This Row],[FIELD_EMPTY_FLAG]],"",AND(NOT(J90),OTHER_GRANTS_FLAG=TRUE))</f>
        <v/>
      </c>
      <c r="J91" s="2" t="b">
        <f ca="1">(DB_TBL_DATA_FIELDS[[#This Row],[FIELD_VALUE_RAW]]="")</f>
        <v>1</v>
      </c>
      <c r="K91" s="2" t="s">
        <v>11</v>
      </c>
      <c r="L91" s="1" t="b">
        <f ca="1">AND(IF(DB_TBL_DATA_FIELDS[[#This Row],[FIELD_VALID_CUSTOM_LOGIC]]="",TRUE,DB_TBL_DATA_FIELDS[[#This Row],[FIELD_VALID_CUSTOM_LOGIC]]),DB_TBL_DATA_FIELDS[[#This Row],[RANGE_VALIDATION_PASSED_FLAG]])</f>
        <v>1</v>
      </c>
      <c r="M91"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91" s="1">
        <f ca="1">IF(DB_TBL_DATA_FIELDS[[#This Row],[SHEET_REF_CALC]]="","",IF(DB_TBL_DATA_FIELDS[[#This Row],[FIELD_EMPTY_FLAG]],IF(NOT(DB_TBL_DATA_FIELDS[[#This Row],[FIELD_REQ_FLAG]]),-1,1),IF(NOT(DB_TBL_DATA_FIELDS[[#This Row],[FIELD_VALID_FLAG]]),0,2)))</f>
        <v>-1</v>
      </c>
      <c r="O91" s="1" t="str">
        <f ca="1">IFERROR(VLOOKUP(DB_TBL_DATA_FIELDS[[#This Row],[FIELD_STATUS_CODE]],DB_TBL_CONFIG_FIELDSTATUSCODES[#All],3,FALSE),"")</f>
        <v>Optional</v>
      </c>
      <c r="P91" s="1" t="str">
        <f ca="1">IFERROR(VLOOKUP(DB_TBL_DATA_FIELDS[[#This Row],[FIELD_STATUS_CODE]],DB_TBL_CONFIG_FIELDSTATUSCODES[#All],4,FALSE),"")</f>
        <v xml:space="preserve"> </v>
      </c>
      <c r="Q91" s="1" t="b">
        <f>TRUE</f>
        <v>1</v>
      </c>
      <c r="R91" s="1" t="b">
        <f>TRUE</f>
        <v>1</v>
      </c>
      <c r="S91" s="1" t="s">
        <v>11</v>
      </c>
      <c r="T91" s="1">
        <f ca="1">IF(DB_TBL_DATA_FIELDS[[#This Row],[RANGE_VALIDATION_FLAG]]="Text",LEN(DB_TBL_DATA_FIELDS[[#This Row],[FIELD_VALUE_RAW]]),IFERROR(VALUE(DB_TBL_DATA_FIELDS[[#This Row],[FIELD_VALUE_RAW]]),-1))</f>
        <v>0</v>
      </c>
      <c r="U91" s="1">
        <v>0</v>
      </c>
      <c r="V91" s="1">
        <v>48</v>
      </c>
      <c r="W91" s="1" t="b">
        <f ca="1">IF(NOT(DB_TBL_DATA_FIELDS[[#This Row],[RANGE_VALIDATION_ON_FLAG]]),TRUE,
AND(DB_TBL_DATA_FIELDS[[#This Row],[RANGE_VALUE_LEN]]&gt;=DB_TBL_DATA_FIELDS[[#This Row],[RANGE_VALIDATION_MIN]],DB_TBL_DATA_FIELDS[[#This Row],[RANGE_VALUE_LEN]]&lt;=DB_TBL_DATA_FIELDS[[#This Row],[RANGE_VALIDATION_MAX]]))</f>
        <v>1</v>
      </c>
      <c r="X91" s="1">
        <v>1</v>
      </c>
      <c r="Y91" s="1">
        <f ca="1">IF(DB_TBL_DATA_FIELDS[[#This Row],[PCT_CALC_SHOW_STATUS_CODE]]=1,
DB_TBL_DATA_FIELDS[[#This Row],[FIELD_STATUS_CODE]],
IF(AND(DB_TBL_DATA_FIELDS[[#This Row],[PCT_CALC_SHOW_STATUS_CODE]]=2,DB_TBL_DATA_FIELDS[[#This Row],[FIELD_STATUS_CODE]]=0),
DB_TBL_DATA_FIELDS[[#This Row],[FIELD_STATUS_CODE]],
"")
)</f>
        <v>-1</v>
      </c>
      <c r="AA91" s="2">
        <v>46</v>
      </c>
      <c r="AB91" s="2" t="s">
        <v>2370</v>
      </c>
    </row>
    <row r="92" spans="1:29" x14ac:dyDescent="0.3">
      <c r="A92" s="1" t="s">
        <v>2226</v>
      </c>
      <c r="B92" s="128" t="s">
        <v>2227</v>
      </c>
      <c r="C92" s="1" t="str">
        <f>IF($H$9&lt;&gt;"I",IF(DB_TBL_DATA_FIELDS[[#This Row],[SHEET_REF_WISH]]&lt;&gt;"",DB_TBL_DATA_FIELDS[[#This Row],[SHEET_REF_WISH]],""),IF(DB_TBL_DATA_FIELDS[[#This Row],[SHEET_REF_IDEA]]&lt;&gt;"",DB_TBL_DATA_FIELDS[[#This Row],[SHEET_REF_IDEA]],""))</f>
        <v>WISH</v>
      </c>
      <c r="D92" s="1" t="s">
        <v>2351</v>
      </c>
      <c r="E92" s="1" t="b">
        <v>0</v>
      </c>
      <c r="F92" s="11" t="b">
        <v>0</v>
      </c>
      <c r="G92" s="2" t="s">
        <v>2367</v>
      </c>
      <c r="H92" s="2" t="str">
        <f ca="1">IFERROR(VLOOKUP(DB_TBL_DATA_FIELDS[[#This Row],[FIELD_ID]],INDIRECT(DB_TBL_DATA_FIELDS[[#This Row],[SHEET_REF_CALC]]&amp;"!A:B"),2,FALSE),"")</f>
        <v/>
      </c>
      <c r="I92" s="104" t="str">
        <f ca="1">IF(DB_TBL_DATA_FIELDS[[#This Row],[FIELD_EMPTY_FLAG]],"",AND(NOT(J90),NOT(J91),OTHER_GRANTS_FLAG=TRUE))</f>
        <v/>
      </c>
      <c r="J92" s="2" t="b">
        <f ca="1">(DB_TBL_DATA_FIELDS[[#This Row],[FIELD_VALUE_RAW]]="")</f>
        <v>1</v>
      </c>
      <c r="K92" s="2" t="s">
        <v>11</v>
      </c>
      <c r="L92" s="1" t="b">
        <f ca="1">AND(IF(DB_TBL_DATA_FIELDS[[#This Row],[FIELD_VALID_CUSTOM_LOGIC]]="",TRUE,DB_TBL_DATA_FIELDS[[#This Row],[FIELD_VALID_CUSTOM_LOGIC]]),DB_TBL_DATA_FIELDS[[#This Row],[RANGE_VALIDATION_PASSED_FLAG]])</f>
        <v>1</v>
      </c>
      <c r="M92"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92" s="1">
        <f ca="1">IF(DB_TBL_DATA_FIELDS[[#This Row],[SHEET_REF_CALC]]="","",IF(DB_TBL_DATA_FIELDS[[#This Row],[FIELD_EMPTY_FLAG]],IF(NOT(DB_TBL_DATA_FIELDS[[#This Row],[FIELD_REQ_FLAG]]),-1,1),IF(NOT(DB_TBL_DATA_FIELDS[[#This Row],[FIELD_VALID_FLAG]]),0,2)))</f>
        <v>-1</v>
      </c>
      <c r="O92" s="1" t="str">
        <f ca="1">IFERROR(VLOOKUP(DB_TBL_DATA_FIELDS[[#This Row],[FIELD_STATUS_CODE]],DB_TBL_CONFIG_FIELDSTATUSCODES[#All],3,FALSE),"")</f>
        <v>Optional</v>
      </c>
      <c r="P92" s="1" t="str">
        <f ca="1">IFERROR(VLOOKUP(DB_TBL_DATA_FIELDS[[#This Row],[FIELD_STATUS_CODE]],DB_TBL_CONFIG_FIELDSTATUSCODES[#All],4,FALSE),"")</f>
        <v xml:space="preserve"> </v>
      </c>
      <c r="Q92" s="1" t="b">
        <f>TRUE</f>
        <v>1</v>
      </c>
      <c r="R92" s="1" t="b">
        <f>TRUE</f>
        <v>1</v>
      </c>
      <c r="S92" s="1" t="s">
        <v>11</v>
      </c>
      <c r="T92" s="1">
        <f ca="1">IF(DB_TBL_DATA_FIELDS[[#This Row],[RANGE_VALIDATION_FLAG]]="Text",LEN(DB_TBL_DATA_FIELDS[[#This Row],[FIELD_VALUE_RAW]]),IFERROR(VALUE(DB_TBL_DATA_FIELDS[[#This Row],[FIELD_VALUE_RAW]]),-1))</f>
        <v>0</v>
      </c>
      <c r="U92" s="1">
        <v>0</v>
      </c>
      <c r="V92" s="1">
        <v>48</v>
      </c>
      <c r="W92" s="1" t="b">
        <f ca="1">IF(NOT(DB_TBL_DATA_FIELDS[[#This Row],[RANGE_VALIDATION_ON_FLAG]]),TRUE,
AND(DB_TBL_DATA_FIELDS[[#This Row],[RANGE_VALUE_LEN]]&gt;=DB_TBL_DATA_FIELDS[[#This Row],[RANGE_VALIDATION_MIN]],DB_TBL_DATA_FIELDS[[#This Row],[RANGE_VALUE_LEN]]&lt;=DB_TBL_DATA_FIELDS[[#This Row],[RANGE_VALIDATION_MAX]]))</f>
        <v>1</v>
      </c>
      <c r="X92" s="1">
        <v>1</v>
      </c>
      <c r="Y92" s="1">
        <f ca="1">IF(DB_TBL_DATA_FIELDS[[#This Row],[PCT_CALC_SHOW_STATUS_CODE]]=1,
DB_TBL_DATA_FIELDS[[#This Row],[FIELD_STATUS_CODE]],
IF(AND(DB_TBL_DATA_FIELDS[[#This Row],[PCT_CALC_SHOW_STATUS_CODE]]=2,DB_TBL_DATA_FIELDS[[#This Row],[FIELD_STATUS_CODE]]=0),
DB_TBL_DATA_FIELDS[[#This Row],[FIELD_STATUS_CODE]],
"")
)</f>
        <v>-1</v>
      </c>
      <c r="AA92" s="2">
        <v>46</v>
      </c>
      <c r="AB92" s="2" t="s">
        <v>2370</v>
      </c>
    </row>
    <row r="93" spans="1:29" x14ac:dyDescent="0.3">
      <c r="A93" s="1" t="s">
        <v>2226</v>
      </c>
      <c r="B93" s="128" t="s">
        <v>2227</v>
      </c>
      <c r="C93" s="1" t="str">
        <f>IF($H$9&lt;&gt;"I",IF(DB_TBL_DATA_FIELDS[[#This Row],[SHEET_REF_WISH]]&lt;&gt;"",DB_TBL_DATA_FIELDS[[#This Row],[SHEET_REF_WISH]],""),IF(DB_TBL_DATA_FIELDS[[#This Row],[SHEET_REF_IDEA]]&lt;&gt;"",DB_TBL_DATA_FIELDS[[#This Row],[SHEET_REF_IDEA]],""))</f>
        <v>WISH</v>
      </c>
      <c r="D93" s="1" t="s">
        <v>2352</v>
      </c>
      <c r="E93" s="1" t="b">
        <v>0</v>
      </c>
      <c r="F93" s="11" t="b">
        <v>0</v>
      </c>
      <c r="G93" s="2" t="s">
        <v>2368</v>
      </c>
      <c r="H93" s="2" t="str">
        <f ca="1">IFERROR(VLOOKUP(DB_TBL_DATA_FIELDS[[#This Row],[FIELD_ID]],INDIRECT(DB_TBL_DATA_FIELDS[[#This Row],[SHEET_REF_CALC]]&amp;"!A:B"),2,FALSE),"")</f>
        <v/>
      </c>
      <c r="I93" s="104" t="str">
        <f ca="1">IF(DB_TBL_DATA_FIELDS[[#This Row],[FIELD_EMPTY_FLAG]],"",AND(NOT(J90),NOT(J91),NOT(J92),OTHER_GRANTS_FLAG=TRUE))</f>
        <v/>
      </c>
      <c r="J93" s="2" t="b">
        <f ca="1">(DB_TBL_DATA_FIELDS[[#This Row],[FIELD_VALUE_RAW]]="")</f>
        <v>1</v>
      </c>
      <c r="K93" s="2" t="s">
        <v>11</v>
      </c>
      <c r="L93" s="1" t="b">
        <f ca="1">AND(IF(DB_TBL_DATA_FIELDS[[#This Row],[FIELD_VALID_CUSTOM_LOGIC]]="",TRUE,DB_TBL_DATA_FIELDS[[#This Row],[FIELD_VALID_CUSTOM_LOGIC]]),DB_TBL_DATA_FIELDS[[#This Row],[RANGE_VALIDATION_PASSED_FLAG]])</f>
        <v>1</v>
      </c>
      <c r="M93"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93" s="1">
        <f ca="1">IF(DB_TBL_DATA_FIELDS[[#This Row],[SHEET_REF_CALC]]="","",IF(DB_TBL_DATA_FIELDS[[#This Row],[FIELD_EMPTY_FLAG]],IF(NOT(DB_TBL_DATA_FIELDS[[#This Row],[FIELD_REQ_FLAG]]),-1,1),IF(NOT(DB_TBL_DATA_FIELDS[[#This Row],[FIELD_VALID_FLAG]]),0,2)))</f>
        <v>-1</v>
      </c>
      <c r="O93" s="1" t="str">
        <f ca="1">IFERROR(VLOOKUP(DB_TBL_DATA_FIELDS[[#This Row],[FIELD_STATUS_CODE]],DB_TBL_CONFIG_FIELDSTATUSCODES[#All],3,FALSE),"")</f>
        <v>Optional</v>
      </c>
      <c r="P93" s="1" t="str">
        <f ca="1">IFERROR(VLOOKUP(DB_TBL_DATA_FIELDS[[#This Row],[FIELD_STATUS_CODE]],DB_TBL_CONFIG_FIELDSTATUSCODES[#All],4,FALSE),"")</f>
        <v xml:space="preserve"> </v>
      </c>
      <c r="Q93" s="1" t="b">
        <f>TRUE</f>
        <v>1</v>
      </c>
      <c r="R93" s="1" t="b">
        <f>TRUE</f>
        <v>1</v>
      </c>
      <c r="S93" s="1" t="s">
        <v>11</v>
      </c>
      <c r="T93" s="1">
        <f ca="1">IF(DB_TBL_DATA_FIELDS[[#This Row],[RANGE_VALIDATION_FLAG]]="Text",LEN(DB_TBL_DATA_FIELDS[[#This Row],[FIELD_VALUE_RAW]]),IFERROR(VALUE(DB_TBL_DATA_FIELDS[[#This Row],[FIELD_VALUE_RAW]]),-1))</f>
        <v>0</v>
      </c>
      <c r="U93" s="1">
        <v>0</v>
      </c>
      <c r="V93" s="1">
        <v>48</v>
      </c>
      <c r="W93" s="1" t="b">
        <f ca="1">IF(NOT(DB_TBL_DATA_FIELDS[[#This Row],[RANGE_VALIDATION_ON_FLAG]]),TRUE,
AND(DB_TBL_DATA_FIELDS[[#This Row],[RANGE_VALUE_LEN]]&gt;=DB_TBL_DATA_FIELDS[[#This Row],[RANGE_VALIDATION_MIN]],DB_TBL_DATA_FIELDS[[#This Row],[RANGE_VALUE_LEN]]&lt;=DB_TBL_DATA_FIELDS[[#This Row],[RANGE_VALIDATION_MAX]]))</f>
        <v>1</v>
      </c>
      <c r="X93" s="1">
        <v>1</v>
      </c>
      <c r="Y93" s="1">
        <f ca="1">IF(DB_TBL_DATA_FIELDS[[#This Row],[PCT_CALC_SHOW_STATUS_CODE]]=1,
DB_TBL_DATA_FIELDS[[#This Row],[FIELD_STATUS_CODE]],
IF(AND(DB_TBL_DATA_FIELDS[[#This Row],[PCT_CALC_SHOW_STATUS_CODE]]=2,DB_TBL_DATA_FIELDS[[#This Row],[FIELD_STATUS_CODE]]=0),
DB_TBL_DATA_FIELDS[[#This Row],[FIELD_STATUS_CODE]],
"")
)</f>
        <v>-1</v>
      </c>
      <c r="AA93" s="2">
        <v>46</v>
      </c>
      <c r="AB93" s="2" t="s">
        <v>2370</v>
      </c>
    </row>
    <row r="94" spans="1:29" x14ac:dyDescent="0.3">
      <c r="A94" s="1" t="s">
        <v>2226</v>
      </c>
      <c r="B94" s="128" t="s">
        <v>2227</v>
      </c>
      <c r="C94" s="1" t="str">
        <f>IF($H$9&lt;&gt;"I",IF(DB_TBL_DATA_FIELDS[[#This Row],[SHEET_REF_WISH]]&lt;&gt;"",DB_TBL_DATA_FIELDS[[#This Row],[SHEET_REF_WISH]],""),IF(DB_TBL_DATA_FIELDS[[#This Row],[SHEET_REF_IDEA]]&lt;&gt;"",DB_TBL_DATA_FIELDS[[#This Row],[SHEET_REF_IDEA]],""))</f>
        <v>WISH</v>
      </c>
      <c r="D94" s="1" t="s">
        <v>2353</v>
      </c>
      <c r="E94" s="1" t="b">
        <v>1</v>
      </c>
      <c r="F94" s="22" t="b">
        <f ca="1">IF(OTHER_GRANTS_FLAG=TRUE,TRUE,FALSE)</f>
        <v>0</v>
      </c>
      <c r="G94" s="2" t="s">
        <v>2360</v>
      </c>
      <c r="H94" s="14" t="str">
        <f ca="1">IF(NOT(J90),H90&amp;IF(NOT(J91),", "&amp;H91&amp;IF(NOT(J92),", "&amp;H92&amp;IF(NOT(J93),", "&amp;H93,""),""),""),"")</f>
        <v/>
      </c>
      <c r="I94" s="14" t="str">
        <f ca="1">IF(NOT(DB_TBL_DATA_FIELDS[[#This Row],[FIELD_EMPTY_FLAG]]),OTHER_GRANTS_FLAG=TRUE,"")</f>
        <v/>
      </c>
      <c r="J94" s="2" t="b">
        <f ca="1">(DB_TBL_DATA_FIELDS[[#This Row],[FIELD_VALUE_RAW]]="")</f>
        <v>1</v>
      </c>
      <c r="K94" s="2" t="s">
        <v>11</v>
      </c>
      <c r="L94" s="1" t="b">
        <f ca="1">AND(IF(DB_TBL_DATA_FIELDS[[#This Row],[FIELD_VALID_CUSTOM_LOGIC]]="",TRUE,DB_TBL_DATA_FIELDS[[#This Row],[FIELD_VALID_CUSTOM_LOGIC]]),DB_TBL_DATA_FIELDS[[#This Row],[RANGE_VALIDATION_PASSED_FLAG]])</f>
        <v>1</v>
      </c>
      <c r="M94"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94" s="1">
        <f ca="1">IF(DB_TBL_DATA_FIELDS[[#This Row],[SHEET_REF_CALC]]="","",IF(DB_TBL_DATA_FIELDS[[#This Row],[FIELD_EMPTY_FLAG]],IF(NOT(DB_TBL_DATA_FIELDS[[#This Row],[FIELD_REQ_FLAG]]),-1,1),IF(NOT(DB_TBL_DATA_FIELDS[[#This Row],[FIELD_VALID_FLAG]]),0,2)))</f>
        <v>-1</v>
      </c>
      <c r="O94" s="1" t="str">
        <f ca="1">IFERROR(VLOOKUP(DB_TBL_DATA_FIELDS[[#This Row],[FIELD_STATUS_CODE]],DB_TBL_CONFIG_FIELDSTATUSCODES[#All],3,FALSE),"")</f>
        <v>Optional</v>
      </c>
      <c r="P94" s="1" t="str">
        <f ca="1">IFERROR(VLOOKUP(DB_TBL_DATA_FIELDS[[#This Row],[FIELD_STATUS_CODE]],DB_TBL_CONFIG_FIELDSTATUSCODES[#All],4,FALSE),"")</f>
        <v xml:space="preserve"> </v>
      </c>
      <c r="Q94" s="1" t="b">
        <f>TRUE</f>
        <v>1</v>
      </c>
      <c r="R94" s="1" t="b">
        <f>TRUE</f>
        <v>1</v>
      </c>
      <c r="S94" s="1" t="s">
        <v>11</v>
      </c>
      <c r="T94" s="1">
        <f ca="1">IF(DB_TBL_DATA_FIELDS[[#This Row],[RANGE_VALIDATION_FLAG]]="Text",LEN(DB_TBL_DATA_FIELDS[[#This Row],[FIELD_VALUE_RAW]]),IFERROR(VALUE(DB_TBL_DATA_FIELDS[[#This Row],[FIELD_VALUE_RAW]]),-1))</f>
        <v>0</v>
      </c>
      <c r="U94" s="1">
        <v>0</v>
      </c>
      <c r="V94" s="105">
        <v>200</v>
      </c>
      <c r="W94" s="1" t="b">
        <f ca="1">IF(NOT(DB_TBL_DATA_FIELDS[[#This Row],[RANGE_VALIDATION_ON_FLAG]]),TRUE,
AND(DB_TBL_DATA_FIELDS[[#This Row],[RANGE_VALUE_LEN]]&gt;=DB_TBL_DATA_FIELDS[[#This Row],[RANGE_VALIDATION_MIN]],DB_TBL_DATA_FIELDS[[#This Row],[RANGE_VALUE_LEN]]&lt;=DB_TBL_DATA_FIELDS[[#This Row],[RANGE_VALIDATION_MAX]]))</f>
        <v>1</v>
      </c>
      <c r="X94" s="1">
        <v>1</v>
      </c>
      <c r="Y94" s="1">
        <f ca="1">IF(DB_TBL_DATA_FIELDS[[#This Row],[PCT_CALC_SHOW_STATUS_CODE]]=1,
DB_TBL_DATA_FIELDS[[#This Row],[FIELD_STATUS_CODE]],
IF(AND(DB_TBL_DATA_FIELDS[[#This Row],[PCT_CALC_SHOW_STATUS_CODE]]=2,DB_TBL_DATA_FIELDS[[#This Row],[FIELD_STATUS_CODE]]=0),
DB_TBL_DATA_FIELDS[[#This Row],[FIELD_STATUS_CODE]],
"")
)</f>
        <v>-1</v>
      </c>
      <c r="AA94" s="2">
        <v>46</v>
      </c>
      <c r="AB94" s="2" t="s">
        <v>2370</v>
      </c>
    </row>
    <row r="95" spans="1:29" x14ac:dyDescent="0.3">
      <c r="A95" s="1" t="s">
        <v>2226</v>
      </c>
      <c r="B95" s="128" t="s">
        <v>2227</v>
      </c>
      <c r="C95" s="1" t="str">
        <f>IF($H$9&lt;&gt;"I",IF(DB_TBL_DATA_FIELDS[[#This Row],[SHEET_REF_WISH]]&lt;&gt;"",DB_TBL_DATA_FIELDS[[#This Row],[SHEET_REF_WISH]],""),IF(DB_TBL_DATA_FIELDS[[#This Row],[SHEET_REF_IDEA]]&lt;&gt;"",DB_TBL_DATA_FIELDS[[#This Row],[SHEET_REF_IDEA]],""))</f>
        <v>WISH</v>
      </c>
      <c r="D95" s="1" t="s">
        <v>2354</v>
      </c>
      <c r="E95" s="1" t="b">
        <v>0</v>
      </c>
      <c r="F95" s="22" t="b">
        <f ca="1">IF(OTHER_GRANTS_FLAG=TRUE,TRUE,FALSE)</f>
        <v>0</v>
      </c>
      <c r="G95" s="2" t="s">
        <v>2361</v>
      </c>
      <c r="H95" s="2" t="str">
        <f ca="1">IFERROR(VLOOKUP(DB_TBL_DATA_FIELDS[[#This Row],[FIELD_ID]],INDIRECT(DB_TBL_DATA_FIELDS[[#This Row],[SHEET_REF_CALC]]&amp;"!A:B"),2,FALSE),"")</f>
        <v/>
      </c>
      <c r="I95" s="14" t="str">
        <f ca="1">IF(NOT(DB_TBL_DATA_FIELDS[[#This Row],[FIELD_EMPTY_FLAG]]),OTHER_GRANTS_FLAG=TRUE,"")</f>
        <v/>
      </c>
      <c r="J95" s="2" t="b">
        <f ca="1">(DB_TBL_DATA_FIELDS[[#This Row],[FIELD_VALUE_RAW]]="")</f>
        <v>1</v>
      </c>
      <c r="K95" s="103" t="s">
        <v>42</v>
      </c>
      <c r="L95" s="1" t="b">
        <f ca="1">AND(IF(DB_TBL_DATA_FIELDS[[#This Row],[FIELD_VALID_CUSTOM_LOGIC]]="",TRUE,DB_TBL_DATA_FIELDS[[#This Row],[FIELD_VALID_CUSTOM_LOGIC]]),DB_TBL_DATA_FIELDS[[#This Row],[RANGE_VALIDATION_PASSED_FLAG]])</f>
        <v>0</v>
      </c>
      <c r="M95"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95" s="1">
        <f ca="1">IF(DB_TBL_DATA_FIELDS[[#This Row],[SHEET_REF_CALC]]="","",IF(DB_TBL_DATA_FIELDS[[#This Row],[FIELD_EMPTY_FLAG]],IF(NOT(DB_TBL_DATA_FIELDS[[#This Row],[FIELD_REQ_FLAG]]),-1,1),IF(NOT(DB_TBL_DATA_FIELDS[[#This Row],[FIELD_VALID_FLAG]]),0,2)))</f>
        <v>-1</v>
      </c>
      <c r="O95" s="1" t="str">
        <f ca="1">IFERROR(VLOOKUP(DB_TBL_DATA_FIELDS[[#This Row],[FIELD_STATUS_CODE]],DB_TBL_CONFIG_FIELDSTATUSCODES[#All],3,FALSE),"")</f>
        <v>Optional</v>
      </c>
      <c r="P95" s="1" t="str">
        <f ca="1">IFERROR(VLOOKUP(DB_TBL_DATA_FIELDS[[#This Row],[FIELD_STATUS_CODE]],DB_TBL_CONFIG_FIELDSTATUSCODES[#All],4,FALSE),"")</f>
        <v xml:space="preserve"> </v>
      </c>
      <c r="Q95" s="1" t="b">
        <f>TRUE</f>
        <v>1</v>
      </c>
      <c r="R95" s="1" t="b">
        <f>TRUE</f>
        <v>1</v>
      </c>
      <c r="S95" s="1" t="s">
        <v>42</v>
      </c>
      <c r="T95" s="1">
        <f ca="1">IF(DB_TBL_DATA_FIELDS[[#This Row],[RANGE_VALIDATION_FLAG]]="Text",LEN(DB_TBL_DATA_FIELDS[[#This Row],[FIELD_VALUE_RAW]]),IFERROR(VALUE(DB_TBL_DATA_FIELDS[[#This Row],[FIELD_VALUE_RAW]]),-1))</f>
        <v>-1</v>
      </c>
      <c r="U95" s="1">
        <v>1</v>
      </c>
      <c r="V95" s="1">
        <v>999999999999</v>
      </c>
      <c r="W95" s="1" t="b">
        <f ca="1">IF(NOT(DB_TBL_DATA_FIELDS[[#This Row],[RANGE_VALIDATION_ON_FLAG]]),TRUE,
AND(DB_TBL_DATA_FIELDS[[#This Row],[RANGE_VALUE_LEN]]&gt;=DB_TBL_DATA_FIELDS[[#This Row],[RANGE_VALIDATION_MIN]],DB_TBL_DATA_FIELDS[[#This Row],[RANGE_VALUE_LEN]]&lt;=DB_TBL_DATA_FIELDS[[#This Row],[RANGE_VALIDATION_MAX]]))</f>
        <v>0</v>
      </c>
      <c r="X95" s="1">
        <v>1</v>
      </c>
      <c r="Y95" s="1">
        <f ca="1">IF(DB_TBL_DATA_FIELDS[[#This Row],[PCT_CALC_SHOW_STATUS_CODE]]=1,
DB_TBL_DATA_FIELDS[[#This Row],[FIELD_STATUS_CODE]],
IF(AND(DB_TBL_DATA_FIELDS[[#This Row],[PCT_CALC_SHOW_STATUS_CODE]]=2,DB_TBL_DATA_FIELDS[[#This Row],[FIELD_STATUS_CODE]]=0),
DB_TBL_DATA_FIELDS[[#This Row],[FIELD_STATUS_CODE]],
"")
)</f>
        <v>-1</v>
      </c>
      <c r="AA95" s="2">
        <v>47</v>
      </c>
      <c r="AB95" s="2" t="s">
        <v>2370</v>
      </c>
    </row>
    <row r="96" spans="1:29" x14ac:dyDescent="0.3">
      <c r="A96" s="1" t="s">
        <v>2226</v>
      </c>
      <c r="B96" s="128" t="s">
        <v>2227</v>
      </c>
      <c r="C96" s="1" t="str">
        <f>IF($H$9&lt;&gt;"I",IF(DB_TBL_DATA_FIELDS[[#This Row],[SHEET_REF_WISH]]&lt;&gt;"",DB_TBL_DATA_FIELDS[[#This Row],[SHEET_REF_WISH]],""),IF(DB_TBL_DATA_FIELDS[[#This Row],[SHEET_REF_IDEA]]&lt;&gt;"",DB_TBL_DATA_FIELDS[[#This Row],[SHEET_REF_IDEA]],""))</f>
        <v>WISH</v>
      </c>
      <c r="D96" s="1" t="s">
        <v>2355</v>
      </c>
      <c r="E96" s="1" t="b">
        <v>0</v>
      </c>
      <c r="F96" s="22" t="b">
        <f ca="1">IF(AND(OTHER_GRANTS_FLAG,I91=TRUE),TRUE,FALSE)</f>
        <v>0</v>
      </c>
      <c r="G96" s="2" t="s">
        <v>2362</v>
      </c>
      <c r="H96" s="2" t="str">
        <f ca="1">IFERROR(VLOOKUP(DB_TBL_DATA_FIELDS[[#This Row],[FIELD_ID]],INDIRECT(DB_TBL_DATA_FIELDS[[#This Row],[SHEET_REF_CALC]]&amp;"!A:B"),2,FALSE),"")</f>
        <v/>
      </c>
      <c r="I96" s="14" t="str">
        <f ca="1">IF(DB_TBL_DATA_FIELDS[[#This Row],[FIELD_EMPTY_FLAG]],"",IF(NOT(DB_TBL_DATA_FIELDS[[#This Row],[FIELD_REQ_FLAG]]),FALSE,TRUE))</f>
        <v/>
      </c>
      <c r="J96" s="2" t="b">
        <f ca="1">(DB_TBL_DATA_FIELDS[[#This Row],[FIELD_VALUE_RAW]]="")</f>
        <v>1</v>
      </c>
      <c r="K96" s="103" t="s">
        <v>42</v>
      </c>
      <c r="L96" s="1" t="b">
        <f ca="1">AND(IF(DB_TBL_DATA_FIELDS[[#This Row],[FIELD_VALID_CUSTOM_LOGIC]]="",TRUE,DB_TBL_DATA_FIELDS[[#This Row],[FIELD_VALID_CUSTOM_LOGIC]]),DB_TBL_DATA_FIELDS[[#This Row],[RANGE_VALIDATION_PASSED_FLAG]])</f>
        <v>0</v>
      </c>
      <c r="M96" s="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96" s="1">
        <f ca="1">IF(DB_TBL_DATA_FIELDS[[#This Row],[SHEET_REF_CALC]]="","",IF(DB_TBL_DATA_FIELDS[[#This Row],[FIELD_EMPTY_FLAG]],IF(NOT(DB_TBL_DATA_FIELDS[[#This Row],[FIELD_REQ_FLAG]]),-1,1),IF(NOT(DB_TBL_DATA_FIELDS[[#This Row],[FIELD_VALID_FLAG]]),0,2)))</f>
        <v>-1</v>
      </c>
      <c r="O96" s="1" t="str">
        <f ca="1">IFERROR(VLOOKUP(DB_TBL_DATA_FIELDS[[#This Row],[FIELD_STATUS_CODE]],DB_TBL_CONFIG_FIELDSTATUSCODES[#All],3,FALSE),"")</f>
        <v>Optional</v>
      </c>
      <c r="P96" s="1" t="str">
        <f ca="1">IFERROR(VLOOKUP(DB_TBL_DATA_FIELDS[[#This Row],[FIELD_STATUS_CODE]],DB_TBL_CONFIG_FIELDSTATUSCODES[#All],4,FALSE),"")</f>
        <v xml:space="preserve"> </v>
      </c>
      <c r="Q96" s="1" t="b">
        <f>TRUE</f>
        <v>1</v>
      </c>
      <c r="R96" s="1" t="b">
        <f>TRUE</f>
        <v>1</v>
      </c>
      <c r="S96" s="1" t="s">
        <v>42</v>
      </c>
      <c r="T96" s="1">
        <f ca="1">IF(DB_TBL_DATA_FIELDS[[#This Row],[RANGE_VALIDATION_FLAG]]="Text",LEN(DB_TBL_DATA_FIELDS[[#This Row],[FIELD_VALUE_RAW]]),IFERROR(VALUE(DB_TBL_DATA_FIELDS[[#This Row],[FIELD_VALUE_RAW]]),-1))</f>
        <v>-1</v>
      </c>
      <c r="U96" s="1">
        <v>1</v>
      </c>
      <c r="V96" s="1">
        <v>999999999999</v>
      </c>
      <c r="W96" s="1" t="b">
        <f ca="1">IF(NOT(DB_TBL_DATA_FIELDS[[#This Row],[RANGE_VALIDATION_ON_FLAG]]),TRUE,
AND(DB_TBL_DATA_FIELDS[[#This Row],[RANGE_VALUE_LEN]]&gt;=DB_TBL_DATA_FIELDS[[#This Row],[RANGE_VALIDATION_MIN]],DB_TBL_DATA_FIELDS[[#This Row],[RANGE_VALUE_LEN]]&lt;=DB_TBL_DATA_FIELDS[[#This Row],[RANGE_VALIDATION_MAX]]))</f>
        <v>0</v>
      </c>
      <c r="X96" s="1">
        <v>1</v>
      </c>
      <c r="Y96" s="1">
        <f ca="1">IF(DB_TBL_DATA_FIELDS[[#This Row],[PCT_CALC_SHOW_STATUS_CODE]]=1,
DB_TBL_DATA_FIELDS[[#This Row],[FIELD_STATUS_CODE]],
IF(AND(DB_TBL_DATA_FIELDS[[#This Row],[PCT_CALC_SHOW_STATUS_CODE]]=2,DB_TBL_DATA_FIELDS[[#This Row],[FIELD_STATUS_CODE]]=0),
DB_TBL_DATA_FIELDS[[#This Row],[FIELD_STATUS_CODE]],
"")
)</f>
        <v>-1</v>
      </c>
      <c r="AA96" s="2">
        <v>47</v>
      </c>
      <c r="AB96" s="2" t="s">
        <v>2370</v>
      </c>
    </row>
    <row r="97" spans="1:29" x14ac:dyDescent="0.3">
      <c r="A97" s="1" t="s">
        <v>2226</v>
      </c>
      <c r="B97" s="128" t="s">
        <v>2227</v>
      </c>
      <c r="C97" s="1" t="str">
        <f>IF($H$9&lt;&gt;"I",IF(DB_TBL_DATA_FIELDS[[#This Row],[SHEET_REF_WISH]]&lt;&gt;"",DB_TBL_DATA_FIELDS[[#This Row],[SHEET_REF_WISH]],""),IF(DB_TBL_DATA_FIELDS[[#This Row],[SHEET_REF_IDEA]]&lt;&gt;"",DB_TBL_DATA_FIELDS[[#This Row],[SHEET_REF_IDEA]],""))</f>
        <v>WISH</v>
      </c>
      <c r="D97" s="101" t="s">
        <v>2356</v>
      </c>
      <c r="E97" s="1" t="b">
        <v>0</v>
      </c>
      <c r="F97" s="22" t="b">
        <f ca="1">IF(AND(OTHER_GRANTS_FLAG,I92=TRUE),TRUE,FALSE)</f>
        <v>0</v>
      </c>
      <c r="G97" s="103" t="s">
        <v>2363</v>
      </c>
      <c r="H97" s="2" t="str">
        <f ca="1">IFERROR(VLOOKUP(DB_TBL_DATA_FIELDS[[#This Row],[FIELD_ID]],INDIRECT(DB_TBL_DATA_FIELDS[[#This Row],[SHEET_REF_CALC]]&amp;"!A:B"),2,FALSE),"")</f>
        <v/>
      </c>
      <c r="I97" s="14" t="str">
        <f ca="1">IF(DB_TBL_DATA_FIELDS[[#This Row],[FIELD_EMPTY_FLAG]],"",IF(NOT(DB_TBL_DATA_FIELDS[[#This Row],[FIELD_REQ_FLAG]]),FALSE,TRUE))</f>
        <v/>
      </c>
      <c r="J97" s="103" t="b">
        <f ca="1">(DB_TBL_DATA_FIELDS[[#This Row],[FIELD_VALUE_RAW]]="")</f>
        <v>1</v>
      </c>
      <c r="K97" s="103" t="s">
        <v>42</v>
      </c>
      <c r="L97" s="101" t="b">
        <f ca="1">AND(IF(DB_TBL_DATA_FIELDS[[#This Row],[FIELD_VALID_CUSTOM_LOGIC]]="",TRUE,DB_TBL_DATA_FIELDS[[#This Row],[FIELD_VALID_CUSTOM_LOGIC]]),DB_TBL_DATA_FIELDS[[#This Row],[RANGE_VALIDATION_PASSED_FLAG]])</f>
        <v>0</v>
      </c>
      <c r="M97" s="10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97" s="101">
        <f ca="1">IF(DB_TBL_DATA_FIELDS[[#This Row],[SHEET_REF_CALC]]="","",IF(DB_TBL_DATA_FIELDS[[#This Row],[FIELD_EMPTY_FLAG]],IF(NOT(DB_TBL_DATA_FIELDS[[#This Row],[FIELD_REQ_FLAG]]),-1,1),IF(NOT(DB_TBL_DATA_FIELDS[[#This Row],[FIELD_VALID_FLAG]]),0,2)))</f>
        <v>-1</v>
      </c>
      <c r="O97" s="101" t="str">
        <f ca="1">IFERROR(VLOOKUP(DB_TBL_DATA_FIELDS[[#This Row],[FIELD_STATUS_CODE]],DB_TBL_CONFIG_FIELDSTATUSCODES[#All],3,FALSE),"")</f>
        <v>Optional</v>
      </c>
      <c r="P97" s="101" t="str">
        <f ca="1">IFERROR(VLOOKUP(DB_TBL_DATA_FIELDS[[#This Row],[FIELD_STATUS_CODE]],DB_TBL_CONFIG_FIELDSTATUSCODES[#All],4,FALSE),"")</f>
        <v xml:space="preserve"> </v>
      </c>
      <c r="Q97" s="101" t="b">
        <f>TRUE</f>
        <v>1</v>
      </c>
      <c r="R97" s="101" t="b">
        <f>TRUE</f>
        <v>1</v>
      </c>
      <c r="S97" s="1" t="s">
        <v>42</v>
      </c>
      <c r="T97" s="101">
        <f ca="1">IF(DB_TBL_DATA_FIELDS[[#This Row],[RANGE_VALIDATION_FLAG]]="Text",LEN(DB_TBL_DATA_FIELDS[[#This Row],[FIELD_VALUE_RAW]]),IFERROR(VALUE(DB_TBL_DATA_FIELDS[[#This Row],[FIELD_VALUE_RAW]]),-1))</f>
        <v>-1</v>
      </c>
      <c r="U97" s="101">
        <v>1</v>
      </c>
      <c r="V97" s="1">
        <v>999999999999</v>
      </c>
      <c r="W97" s="101" t="b">
        <f ca="1">IF(NOT(DB_TBL_DATA_FIELDS[[#This Row],[RANGE_VALIDATION_ON_FLAG]]),TRUE,
AND(DB_TBL_DATA_FIELDS[[#This Row],[RANGE_VALUE_LEN]]&gt;=DB_TBL_DATA_FIELDS[[#This Row],[RANGE_VALIDATION_MIN]],DB_TBL_DATA_FIELDS[[#This Row],[RANGE_VALUE_LEN]]&lt;=DB_TBL_DATA_FIELDS[[#This Row],[RANGE_VALIDATION_MAX]]))</f>
        <v>0</v>
      </c>
      <c r="X97" s="1">
        <v>1</v>
      </c>
      <c r="Y97" s="101">
        <f ca="1">IF(DB_TBL_DATA_FIELDS[[#This Row],[PCT_CALC_SHOW_STATUS_CODE]]=1,
DB_TBL_DATA_FIELDS[[#This Row],[FIELD_STATUS_CODE]],
IF(AND(DB_TBL_DATA_FIELDS[[#This Row],[PCT_CALC_SHOW_STATUS_CODE]]=2,DB_TBL_DATA_FIELDS[[#This Row],[FIELD_STATUS_CODE]]=0),
DB_TBL_DATA_FIELDS[[#This Row],[FIELD_STATUS_CODE]],
"")
)</f>
        <v>-1</v>
      </c>
      <c r="Z97" s="101"/>
      <c r="AA97" s="2">
        <v>47</v>
      </c>
      <c r="AB97" s="2" t="s">
        <v>2370</v>
      </c>
      <c r="AC97" s="101"/>
    </row>
    <row r="98" spans="1:29" x14ac:dyDescent="0.3">
      <c r="A98" s="1" t="s">
        <v>2226</v>
      </c>
      <c r="B98" s="128" t="s">
        <v>2227</v>
      </c>
      <c r="C98" s="1" t="str">
        <f>IF($H$9&lt;&gt;"I",IF(DB_TBL_DATA_FIELDS[[#This Row],[SHEET_REF_WISH]]&lt;&gt;"",DB_TBL_DATA_FIELDS[[#This Row],[SHEET_REF_WISH]],""),IF(DB_TBL_DATA_FIELDS[[#This Row],[SHEET_REF_IDEA]]&lt;&gt;"",DB_TBL_DATA_FIELDS[[#This Row],[SHEET_REF_IDEA]],""))</f>
        <v>WISH</v>
      </c>
      <c r="D98" s="101" t="s">
        <v>2357</v>
      </c>
      <c r="E98" s="1" t="b">
        <v>0</v>
      </c>
      <c r="F98" s="22" t="b">
        <f ca="1">IF(AND(OTHER_GRANTS_FLAG,I93=TRUE),TRUE,FALSE)</f>
        <v>0</v>
      </c>
      <c r="G98" s="103" t="s">
        <v>2364</v>
      </c>
      <c r="H98" s="2" t="str">
        <f ca="1">IFERROR(VLOOKUP(DB_TBL_DATA_FIELDS[[#This Row],[FIELD_ID]],INDIRECT(DB_TBL_DATA_FIELDS[[#This Row],[SHEET_REF_CALC]]&amp;"!A:B"),2,FALSE),"")</f>
        <v/>
      </c>
      <c r="I98" s="14" t="str">
        <f ca="1">IF(DB_TBL_DATA_FIELDS[[#This Row],[FIELD_EMPTY_FLAG]],"",IF(NOT(DB_TBL_DATA_FIELDS[[#This Row],[FIELD_REQ_FLAG]]),FALSE,TRUE))</f>
        <v/>
      </c>
      <c r="J98" s="103" t="b">
        <f ca="1">(DB_TBL_DATA_FIELDS[[#This Row],[FIELD_VALUE_RAW]]="")</f>
        <v>1</v>
      </c>
      <c r="K98" s="103" t="s">
        <v>42</v>
      </c>
      <c r="L98" s="101" t="b">
        <f ca="1">AND(IF(DB_TBL_DATA_FIELDS[[#This Row],[FIELD_VALID_CUSTOM_LOGIC]]="",TRUE,DB_TBL_DATA_FIELDS[[#This Row],[FIELD_VALID_CUSTOM_LOGIC]]),DB_TBL_DATA_FIELDS[[#This Row],[RANGE_VALIDATION_PASSED_FLAG]])</f>
        <v>0</v>
      </c>
      <c r="M98" s="10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98" s="101">
        <f ca="1">IF(DB_TBL_DATA_FIELDS[[#This Row],[SHEET_REF_CALC]]="","",IF(DB_TBL_DATA_FIELDS[[#This Row],[FIELD_EMPTY_FLAG]],IF(NOT(DB_TBL_DATA_FIELDS[[#This Row],[FIELD_REQ_FLAG]]),-1,1),IF(NOT(DB_TBL_DATA_FIELDS[[#This Row],[FIELD_VALID_FLAG]]),0,2)))</f>
        <v>-1</v>
      </c>
      <c r="O98" s="101" t="str">
        <f ca="1">IFERROR(VLOOKUP(DB_TBL_DATA_FIELDS[[#This Row],[FIELD_STATUS_CODE]],DB_TBL_CONFIG_FIELDSTATUSCODES[#All],3,FALSE),"")</f>
        <v>Optional</v>
      </c>
      <c r="P98" s="101" t="str">
        <f ca="1">IFERROR(VLOOKUP(DB_TBL_DATA_FIELDS[[#This Row],[FIELD_STATUS_CODE]],DB_TBL_CONFIG_FIELDSTATUSCODES[#All],4,FALSE),"")</f>
        <v xml:space="preserve"> </v>
      </c>
      <c r="Q98" s="101" t="b">
        <f>TRUE</f>
        <v>1</v>
      </c>
      <c r="R98" s="101" t="b">
        <f>TRUE</f>
        <v>1</v>
      </c>
      <c r="S98" s="1" t="s">
        <v>42</v>
      </c>
      <c r="T98" s="101">
        <f ca="1">IF(DB_TBL_DATA_FIELDS[[#This Row],[RANGE_VALIDATION_FLAG]]="Text",LEN(DB_TBL_DATA_FIELDS[[#This Row],[FIELD_VALUE_RAW]]),IFERROR(VALUE(DB_TBL_DATA_FIELDS[[#This Row],[FIELD_VALUE_RAW]]),-1))</f>
        <v>-1</v>
      </c>
      <c r="U98" s="101">
        <v>1</v>
      </c>
      <c r="V98" s="1">
        <v>999999999999</v>
      </c>
      <c r="W98" s="101" t="b">
        <f ca="1">IF(NOT(DB_TBL_DATA_FIELDS[[#This Row],[RANGE_VALIDATION_ON_FLAG]]),TRUE,
AND(DB_TBL_DATA_FIELDS[[#This Row],[RANGE_VALUE_LEN]]&gt;=DB_TBL_DATA_FIELDS[[#This Row],[RANGE_VALIDATION_MIN]],DB_TBL_DATA_FIELDS[[#This Row],[RANGE_VALUE_LEN]]&lt;=DB_TBL_DATA_FIELDS[[#This Row],[RANGE_VALIDATION_MAX]]))</f>
        <v>0</v>
      </c>
      <c r="X98" s="1">
        <v>1</v>
      </c>
      <c r="Y98" s="101">
        <f ca="1">IF(DB_TBL_DATA_FIELDS[[#This Row],[PCT_CALC_SHOW_STATUS_CODE]]=1,
DB_TBL_DATA_FIELDS[[#This Row],[FIELD_STATUS_CODE]],
IF(AND(DB_TBL_DATA_FIELDS[[#This Row],[PCT_CALC_SHOW_STATUS_CODE]]=2,DB_TBL_DATA_FIELDS[[#This Row],[FIELD_STATUS_CODE]]=0),
DB_TBL_DATA_FIELDS[[#This Row],[FIELD_STATUS_CODE]],
"")
)</f>
        <v>-1</v>
      </c>
      <c r="Z98" s="101"/>
      <c r="AA98" s="2">
        <v>47</v>
      </c>
      <c r="AB98" s="2" t="s">
        <v>2370</v>
      </c>
      <c r="AC98" s="101"/>
    </row>
    <row r="99" spans="1:29" x14ac:dyDescent="0.3">
      <c r="A99" s="1" t="s">
        <v>2226</v>
      </c>
      <c r="B99" s="128" t="s">
        <v>2227</v>
      </c>
      <c r="C99" s="1" t="str">
        <f>IF($H$9&lt;&gt;"I",IF(DB_TBL_DATA_FIELDS[[#This Row],[SHEET_REF_WISH]]&lt;&gt;"",DB_TBL_DATA_FIELDS[[#This Row],[SHEET_REF_WISH]],""),IF(DB_TBL_DATA_FIELDS[[#This Row],[SHEET_REF_IDEA]]&lt;&gt;"",DB_TBL_DATA_FIELDS[[#This Row],[SHEET_REF_IDEA]],""))</f>
        <v>WISH</v>
      </c>
      <c r="D99" s="101" t="s">
        <v>2358</v>
      </c>
      <c r="E99" s="1" t="b">
        <v>1</v>
      </c>
      <c r="F99" s="22" t="b">
        <f ca="1">IF(OTHER_GRANTS_FLAG=TRUE,TRUE,FALSE)</f>
        <v>0</v>
      </c>
      <c r="G99" s="103" t="s">
        <v>2359</v>
      </c>
      <c r="H99" s="104" t="str">
        <f ca="1">IF(SUM(M95:M98)=0,"",SUM(M95:M98))</f>
        <v/>
      </c>
      <c r="I99" s="14" t="str">
        <f ca="1">IF(NOT(DB_TBL_DATA_FIELDS[[#This Row],[FIELD_EMPTY_FLAG]]),OTHER_GRANTS_FLAG=TRUE,"")</f>
        <v/>
      </c>
      <c r="J99" s="103" t="b">
        <f ca="1">(DB_TBL_DATA_FIELDS[[#This Row],[FIELD_VALUE_RAW]]="")</f>
        <v>1</v>
      </c>
      <c r="K99" s="103" t="s">
        <v>42</v>
      </c>
      <c r="L99" s="101" t="b">
        <f ca="1">AND(IF(DB_TBL_DATA_FIELDS[[#This Row],[FIELD_VALID_CUSTOM_LOGIC]]="",TRUE,DB_TBL_DATA_FIELDS[[#This Row],[FIELD_VALID_CUSTOM_LOGIC]]),DB_TBL_DATA_FIELDS[[#This Row],[RANGE_VALIDATION_PASSED_FLAG]])</f>
        <v>0</v>
      </c>
      <c r="M99" s="10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N99" s="101">
        <f ca="1">IF(DB_TBL_DATA_FIELDS[[#This Row],[SHEET_REF_CALC]]="","",IF(DB_TBL_DATA_FIELDS[[#This Row],[FIELD_EMPTY_FLAG]],IF(NOT(DB_TBL_DATA_FIELDS[[#This Row],[FIELD_REQ_FLAG]]),-1,1),IF(NOT(DB_TBL_DATA_FIELDS[[#This Row],[FIELD_VALID_FLAG]]),0,2)))</f>
        <v>-1</v>
      </c>
      <c r="O99" s="101" t="str">
        <f ca="1">IFERROR(VLOOKUP(DB_TBL_DATA_FIELDS[[#This Row],[FIELD_STATUS_CODE]],DB_TBL_CONFIG_FIELDSTATUSCODES[#All],3,FALSE),"")</f>
        <v>Optional</v>
      </c>
      <c r="P99" s="101" t="str">
        <f ca="1">IFERROR(VLOOKUP(DB_TBL_DATA_FIELDS[[#This Row],[FIELD_STATUS_CODE]],DB_TBL_CONFIG_FIELDSTATUSCODES[#All],4,FALSE),"")</f>
        <v xml:space="preserve"> </v>
      </c>
      <c r="Q99" s="101" t="b">
        <f>TRUE</f>
        <v>1</v>
      </c>
      <c r="R99" s="101" t="b">
        <f>TRUE</f>
        <v>1</v>
      </c>
      <c r="S99" s="1" t="s">
        <v>42</v>
      </c>
      <c r="T99" s="101">
        <f ca="1">IF(DB_TBL_DATA_FIELDS[[#This Row],[RANGE_VALIDATION_FLAG]]="Text",LEN(DB_TBL_DATA_FIELDS[[#This Row],[FIELD_VALUE_RAW]]),IFERROR(VALUE(DB_TBL_DATA_FIELDS[[#This Row],[FIELD_VALUE_RAW]]),-1))</f>
        <v>-1</v>
      </c>
      <c r="U99" s="101">
        <v>1</v>
      </c>
      <c r="V99" s="1">
        <v>999999999999</v>
      </c>
      <c r="W99" s="101" t="b">
        <f ca="1">IF(NOT(DB_TBL_DATA_FIELDS[[#This Row],[RANGE_VALIDATION_ON_FLAG]]),TRUE,
AND(DB_TBL_DATA_FIELDS[[#This Row],[RANGE_VALUE_LEN]]&gt;=DB_TBL_DATA_FIELDS[[#This Row],[RANGE_VALIDATION_MIN]],DB_TBL_DATA_FIELDS[[#This Row],[RANGE_VALUE_LEN]]&lt;=DB_TBL_DATA_FIELDS[[#This Row],[RANGE_VALIDATION_MAX]]))</f>
        <v>0</v>
      </c>
      <c r="X99" s="1">
        <v>1</v>
      </c>
      <c r="Y99" s="101">
        <f ca="1">IF(DB_TBL_DATA_FIELDS[[#This Row],[PCT_CALC_SHOW_STATUS_CODE]]=1,
DB_TBL_DATA_FIELDS[[#This Row],[FIELD_STATUS_CODE]],
IF(AND(DB_TBL_DATA_FIELDS[[#This Row],[PCT_CALC_SHOW_STATUS_CODE]]=2,DB_TBL_DATA_FIELDS[[#This Row],[FIELD_STATUS_CODE]]=0),
DB_TBL_DATA_FIELDS[[#This Row],[FIELD_STATUS_CODE]],
"")
)</f>
        <v>-1</v>
      </c>
      <c r="Z99" s="101"/>
      <c r="AA99" s="2">
        <v>47</v>
      </c>
      <c r="AB99" s="2" t="s">
        <v>2370</v>
      </c>
      <c r="AC99" s="101"/>
    </row>
  </sheetData>
  <sheetProtection algorithmName="SHA-512" hashValue="Ou4LPwOGfT8lLRfc62JcW9g7cDcHrtMdIWh1kNEbE3/3ZDU1pG7MbvUBWFrh6unO7Hl3zHr9Kqv69C065ZyFuQ==" saltValue="4IFJeVS3sj4AhlQ8ASi+lg==" spinCount="100000" sheet="1" objects="1" scenarios="1"/>
  <conditionalFormatting sqref="E2:E99">
    <cfRule type="cellIs" dxfId="0" priority="1" operator="equal">
      <formula>TRUE</formula>
    </cfRule>
  </conditionalFormatting>
  <pageMargins left="0.7" right="0.7" top="0.75" bottom="0.75" header="0.3" footer="0.3"/>
  <pageSetup orientation="portrait" r:id="rId1"/>
  <headerFooter>
    <oddFooter>&amp;L&amp;1#&amp;"Calibri"&amp;9&amp;K0000FFFHLBank San Francisco | Confidential</oddFooter>
  </headerFooter>
  <ignoredErrors>
    <ignoredError sqref="U9:V9 Q3 Q9" calculatedColumn="1"/>
  </ignoredErrors>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225"/>
  <sheetViews>
    <sheetView topLeftCell="B1" workbookViewId="0">
      <selection activeCell="U51" sqref="U51:W54"/>
    </sheetView>
  </sheetViews>
  <sheetFormatPr defaultColWidth="9.1796875" defaultRowHeight="13" x14ac:dyDescent="0.3"/>
  <cols>
    <col min="1" max="1" width="16" style="1" customWidth="1"/>
    <col min="2" max="2" width="20.453125" style="1" bestFit="1" customWidth="1"/>
    <col min="3" max="3" width="9.1796875" style="1"/>
    <col min="4" max="4" width="33.26953125" style="1" bestFit="1" customWidth="1"/>
    <col min="5" max="5" width="9.1796875" style="1"/>
    <col min="6" max="6" width="14.81640625" style="1" customWidth="1"/>
    <col min="7" max="7" width="15.7265625" style="1" customWidth="1"/>
    <col min="8" max="8" width="8.1796875" style="1" customWidth="1"/>
    <col min="9" max="9" width="17.26953125" style="1" customWidth="1"/>
    <col min="10" max="10" width="16.81640625" style="1" customWidth="1"/>
    <col min="11" max="11" width="9.1796875" style="1"/>
    <col min="12" max="12" width="33.26953125" style="1" bestFit="1" customWidth="1"/>
    <col min="13" max="13" width="15.81640625" style="1" customWidth="1"/>
    <col min="14" max="14" width="9.1796875" style="1"/>
    <col min="15" max="15" width="45" style="1" bestFit="1" customWidth="1"/>
    <col min="16" max="16" width="9.1796875" style="1"/>
    <col min="17" max="17" width="29.7265625" style="1" customWidth="1"/>
    <col min="18" max="18" width="12.7265625" style="1" bestFit="1" customWidth="1"/>
    <col min="19" max="19" width="9.1796875" style="1"/>
    <col min="20" max="20" width="19.81640625" style="1" customWidth="1"/>
    <col min="21" max="21" width="24.1796875" style="1" customWidth="1"/>
    <col min="22" max="22" width="9.1796875" style="1"/>
    <col min="23" max="23" width="44" style="1" customWidth="1"/>
    <col min="24" max="24" width="12.7265625" style="1" bestFit="1" customWidth="1"/>
    <col min="25" max="25" width="9.1796875" style="1"/>
    <col min="26" max="26" width="46" style="1" bestFit="1" customWidth="1"/>
    <col min="27" max="27" width="12.7265625" style="1" bestFit="1" customWidth="1"/>
    <col min="28" max="16384" width="9.1796875" style="1"/>
  </cols>
  <sheetData>
    <row r="1" spans="1:27" x14ac:dyDescent="0.3">
      <c r="A1" s="3" t="s">
        <v>108</v>
      </c>
      <c r="D1" s="3" t="s">
        <v>109</v>
      </c>
      <c r="F1" s="3" t="s">
        <v>195</v>
      </c>
      <c r="I1" s="3" t="s">
        <v>196</v>
      </c>
      <c r="L1" s="3" t="s">
        <v>200</v>
      </c>
      <c r="M1" s="1" t="s">
        <v>2157</v>
      </c>
      <c r="O1" s="3" t="s">
        <v>2158</v>
      </c>
      <c r="Q1" s="3" t="s">
        <v>2212</v>
      </c>
      <c r="T1" s="3" t="s">
        <v>2217</v>
      </c>
      <c r="W1" s="3" t="s">
        <v>2434</v>
      </c>
      <c r="Z1" s="3" t="s">
        <v>2483</v>
      </c>
    </row>
    <row r="2" spans="1:27" ht="13.5" thickBot="1" x14ac:dyDescent="0.35">
      <c r="A2" s="1" t="s">
        <v>38</v>
      </c>
      <c r="B2" s="1" t="s">
        <v>39</v>
      </c>
      <c r="D2" s="8" t="s">
        <v>107</v>
      </c>
      <c r="F2" s="17" t="s">
        <v>38</v>
      </c>
      <c r="G2" s="17" t="s">
        <v>39</v>
      </c>
      <c r="I2" s="17" t="s">
        <v>39</v>
      </c>
      <c r="J2" s="17" t="s">
        <v>38</v>
      </c>
      <c r="L2" s="17" t="s">
        <v>201</v>
      </c>
      <c r="M2" s="8" t="s">
        <v>107</v>
      </c>
      <c r="O2" s="8" t="s">
        <v>2159</v>
      </c>
      <c r="Q2" s="17" t="s">
        <v>39</v>
      </c>
      <c r="R2" s="17" t="s">
        <v>38</v>
      </c>
      <c r="T2" s="17" t="s">
        <v>39</v>
      </c>
      <c r="U2" s="17" t="s">
        <v>38</v>
      </c>
      <c r="W2" s="17" t="s">
        <v>39</v>
      </c>
      <c r="X2" s="17" t="s">
        <v>38</v>
      </c>
      <c r="Z2" s="17" t="s">
        <v>39</v>
      </c>
      <c r="AA2" s="17" t="s">
        <v>38</v>
      </c>
    </row>
    <row r="3" spans="1:27" ht="13.5" thickTop="1" x14ac:dyDescent="0.3">
      <c r="A3" s="1" t="s">
        <v>2221</v>
      </c>
      <c r="B3" s="1" t="s">
        <v>2209</v>
      </c>
      <c r="D3" s="28" t="s">
        <v>104</v>
      </c>
      <c r="F3" s="18">
        <v>1</v>
      </c>
      <c r="G3" s="18" t="s">
        <v>193</v>
      </c>
      <c r="I3" s="18" t="s">
        <v>193</v>
      </c>
      <c r="J3" s="18">
        <v>1</v>
      </c>
      <c r="L3" s="18" t="s">
        <v>202</v>
      </c>
      <c r="M3" s="23" t="s">
        <v>106</v>
      </c>
      <c r="O3" s="27" t="s">
        <v>2157</v>
      </c>
      <c r="Q3" s="18" t="s">
        <v>2213</v>
      </c>
      <c r="R3" s="20" t="s">
        <v>2215</v>
      </c>
      <c r="T3" s="18" t="s">
        <v>2218</v>
      </c>
      <c r="U3" s="20" t="s">
        <v>2218</v>
      </c>
      <c r="W3" s="18" t="s">
        <v>2442</v>
      </c>
      <c r="X3" s="20" t="s">
        <v>2435</v>
      </c>
      <c r="Z3" s="18" t="s">
        <v>2484</v>
      </c>
      <c r="AA3" s="20" t="s">
        <v>2485</v>
      </c>
    </row>
    <row r="4" spans="1:27" x14ac:dyDescent="0.3">
      <c r="A4" s="1" t="s">
        <v>2222</v>
      </c>
      <c r="B4" s="1" t="s">
        <v>2211</v>
      </c>
      <c r="D4" s="25" t="s">
        <v>102</v>
      </c>
      <c r="F4" s="19">
        <v>0</v>
      </c>
      <c r="G4" s="19" t="s">
        <v>194</v>
      </c>
      <c r="I4" s="19" t="s">
        <v>194</v>
      </c>
      <c r="J4" s="19">
        <v>0</v>
      </c>
      <c r="L4" s="19" t="s">
        <v>203</v>
      </c>
      <c r="M4" s="24" t="s">
        <v>106</v>
      </c>
      <c r="Q4" s="19" t="s">
        <v>2214</v>
      </c>
      <c r="R4" s="21" t="s">
        <v>2216</v>
      </c>
      <c r="T4" s="19" t="s">
        <v>2219</v>
      </c>
      <c r="U4" s="21" t="s">
        <v>2219</v>
      </c>
      <c r="W4" s="19" t="s">
        <v>2436</v>
      </c>
      <c r="X4" s="21" t="s">
        <v>2437</v>
      </c>
      <c r="Z4" s="19" t="s">
        <v>2486</v>
      </c>
      <c r="AA4" s="21" t="s">
        <v>2487</v>
      </c>
    </row>
    <row r="5" spans="1:27" x14ac:dyDescent="0.3">
      <c r="D5" s="28" t="s">
        <v>80</v>
      </c>
      <c r="I5" s="18" t="s">
        <v>147</v>
      </c>
      <c r="J5" s="18">
        <v>2</v>
      </c>
      <c r="L5" s="18" t="s">
        <v>204</v>
      </c>
      <c r="M5" s="23" t="s">
        <v>106</v>
      </c>
      <c r="T5" s="18" t="s">
        <v>2220</v>
      </c>
      <c r="U5" s="20" t="s">
        <v>2220</v>
      </c>
      <c r="Z5" s="18" t="s">
        <v>2488</v>
      </c>
      <c r="AA5" s="20" t="s">
        <v>2489</v>
      </c>
    </row>
    <row r="6" spans="1:27" x14ac:dyDescent="0.3">
      <c r="D6" s="25" t="s">
        <v>105</v>
      </c>
      <c r="L6" s="19" t="s">
        <v>205</v>
      </c>
      <c r="M6" s="24" t="s">
        <v>106</v>
      </c>
    </row>
    <row r="7" spans="1:27" x14ac:dyDescent="0.3">
      <c r="D7" s="28" t="s">
        <v>106</v>
      </c>
      <c r="L7" s="18" t="s">
        <v>206</v>
      </c>
      <c r="M7" s="23" t="s">
        <v>106</v>
      </c>
    </row>
    <row r="8" spans="1:27" x14ac:dyDescent="0.3">
      <c r="D8" s="25" t="s">
        <v>103</v>
      </c>
      <c r="L8" s="19" t="s">
        <v>207</v>
      </c>
      <c r="M8" s="24" t="s">
        <v>106</v>
      </c>
    </row>
    <row r="9" spans="1:27" x14ac:dyDescent="0.3">
      <c r="D9" s="28" t="s">
        <v>101</v>
      </c>
      <c r="L9" s="18" t="s">
        <v>208</v>
      </c>
      <c r="M9" s="23" t="s">
        <v>106</v>
      </c>
    </row>
    <row r="10" spans="1:27" x14ac:dyDescent="0.3">
      <c r="D10" s="25" t="s">
        <v>58</v>
      </c>
      <c r="L10" s="19" t="s">
        <v>209</v>
      </c>
      <c r="M10" s="24" t="s">
        <v>106</v>
      </c>
    </row>
    <row r="11" spans="1:27" x14ac:dyDescent="0.3">
      <c r="D11" s="28" t="s">
        <v>488</v>
      </c>
      <c r="L11" s="18" t="s">
        <v>210</v>
      </c>
      <c r="M11" s="23" t="s">
        <v>106</v>
      </c>
    </row>
    <row r="12" spans="1:27" x14ac:dyDescent="0.3">
      <c r="D12" s="25" t="s">
        <v>100</v>
      </c>
      <c r="L12" s="19" t="s">
        <v>211</v>
      </c>
      <c r="M12" s="24" t="s">
        <v>106</v>
      </c>
    </row>
    <row r="13" spans="1:27" x14ac:dyDescent="0.3">
      <c r="D13" s="28" t="s">
        <v>99</v>
      </c>
      <c r="L13" s="18" t="s">
        <v>212</v>
      </c>
      <c r="M13" s="23" t="s">
        <v>106</v>
      </c>
    </row>
    <row r="14" spans="1:27" x14ac:dyDescent="0.3">
      <c r="D14" s="25" t="s">
        <v>98</v>
      </c>
      <c r="L14" s="19" t="s">
        <v>213</v>
      </c>
      <c r="M14" s="24" t="s">
        <v>106</v>
      </c>
    </row>
    <row r="15" spans="1:27" x14ac:dyDescent="0.3">
      <c r="D15" s="28" t="s">
        <v>2180</v>
      </c>
      <c r="L15" s="18" t="s">
        <v>214</v>
      </c>
      <c r="M15" s="23" t="s">
        <v>106</v>
      </c>
    </row>
    <row r="16" spans="1:27" x14ac:dyDescent="0.3">
      <c r="D16" s="25" t="s">
        <v>97</v>
      </c>
      <c r="L16" s="19" t="s">
        <v>215</v>
      </c>
      <c r="M16" s="24" t="s">
        <v>106</v>
      </c>
    </row>
    <row r="17" spans="4:13" x14ac:dyDescent="0.3">
      <c r="D17" s="28" t="s">
        <v>93</v>
      </c>
      <c r="L17" s="18" t="s">
        <v>216</v>
      </c>
      <c r="M17" s="23" t="s">
        <v>106</v>
      </c>
    </row>
    <row r="18" spans="4:13" x14ac:dyDescent="0.3">
      <c r="D18" s="25" t="s">
        <v>96</v>
      </c>
      <c r="L18" s="19" t="s">
        <v>217</v>
      </c>
      <c r="M18" s="24" t="s">
        <v>106</v>
      </c>
    </row>
    <row r="19" spans="4:13" x14ac:dyDescent="0.3">
      <c r="D19" s="28" t="s">
        <v>95</v>
      </c>
      <c r="L19" s="18" t="s">
        <v>218</v>
      </c>
      <c r="M19" s="23" t="s">
        <v>106</v>
      </c>
    </row>
    <row r="20" spans="4:13" x14ac:dyDescent="0.3">
      <c r="D20" s="25" t="s">
        <v>94</v>
      </c>
      <c r="L20" s="19" t="s">
        <v>219</v>
      </c>
      <c r="M20" s="24" t="s">
        <v>106</v>
      </c>
    </row>
    <row r="21" spans="4:13" x14ac:dyDescent="0.3">
      <c r="D21" s="28" t="s">
        <v>92</v>
      </c>
      <c r="L21" s="18" t="s">
        <v>220</v>
      </c>
      <c r="M21" s="23" t="s">
        <v>106</v>
      </c>
    </row>
    <row r="22" spans="4:13" x14ac:dyDescent="0.3">
      <c r="D22" s="25" t="s">
        <v>91</v>
      </c>
      <c r="L22" s="19" t="s">
        <v>221</v>
      </c>
      <c r="M22" s="24" t="s">
        <v>106</v>
      </c>
    </row>
    <row r="23" spans="4:13" x14ac:dyDescent="0.3">
      <c r="D23" s="28" t="s">
        <v>90</v>
      </c>
      <c r="L23" s="18" t="s">
        <v>222</v>
      </c>
      <c r="M23" s="23" t="s">
        <v>106</v>
      </c>
    </row>
    <row r="24" spans="4:13" x14ac:dyDescent="0.3">
      <c r="D24" s="25" t="s">
        <v>87</v>
      </c>
      <c r="L24" s="19" t="s">
        <v>223</v>
      </c>
      <c r="M24" s="24" t="s">
        <v>106</v>
      </c>
    </row>
    <row r="25" spans="4:13" x14ac:dyDescent="0.3">
      <c r="D25" s="28" t="s">
        <v>88</v>
      </c>
      <c r="L25" s="18" t="s">
        <v>224</v>
      </c>
      <c r="M25" s="23" t="s">
        <v>106</v>
      </c>
    </row>
    <row r="26" spans="4:13" x14ac:dyDescent="0.3">
      <c r="D26" s="25" t="s">
        <v>89</v>
      </c>
      <c r="L26" s="19" t="s">
        <v>225</v>
      </c>
      <c r="M26" s="24" t="s">
        <v>106</v>
      </c>
    </row>
    <row r="27" spans="4:13" x14ac:dyDescent="0.3">
      <c r="D27" s="28" t="s">
        <v>86</v>
      </c>
      <c r="L27" s="18" t="s">
        <v>226</v>
      </c>
      <c r="M27" s="23" t="s">
        <v>106</v>
      </c>
    </row>
    <row r="28" spans="4:13" x14ac:dyDescent="0.3">
      <c r="D28" s="25" t="s">
        <v>85</v>
      </c>
      <c r="L28" s="19" t="s">
        <v>227</v>
      </c>
      <c r="M28" s="24" t="s">
        <v>106</v>
      </c>
    </row>
    <row r="29" spans="4:13" x14ac:dyDescent="0.3">
      <c r="D29" s="28" t="s">
        <v>83</v>
      </c>
      <c r="L29" s="18" t="s">
        <v>228</v>
      </c>
      <c r="M29" s="23" t="s">
        <v>106</v>
      </c>
    </row>
    <row r="30" spans="4:13" x14ac:dyDescent="0.3">
      <c r="D30" s="25" t="s">
        <v>84</v>
      </c>
      <c r="L30" s="19" t="s">
        <v>229</v>
      </c>
      <c r="M30" s="24" t="s">
        <v>106</v>
      </c>
    </row>
    <row r="31" spans="4:13" x14ac:dyDescent="0.3">
      <c r="D31" s="28" t="s">
        <v>82</v>
      </c>
      <c r="L31" s="18" t="s">
        <v>230</v>
      </c>
      <c r="M31" s="23" t="s">
        <v>106</v>
      </c>
    </row>
    <row r="32" spans="4:13" x14ac:dyDescent="0.3">
      <c r="D32" s="25" t="s">
        <v>76</v>
      </c>
      <c r="L32" s="19" t="s">
        <v>231</v>
      </c>
      <c r="M32" s="24" t="s">
        <v>106</v>
      </c>
    </row>
    <row r="33" spans="4:13" x14ac:dyDescent="0.3">
      <c r="D33" s="28" t="s">
        <v>75</v>
      </c>
      <c r="L33" s="18" t="s">
        <v>232</v>
      </c>
      <c r="M33" s="23" t="s">
        <v>106</v>
      </c>
    </row>
    <row r="34" spans="4:13" x14ac:dyDescent="0.3">
      <c r="D34" s="25" t="s">
        <v>81</v>
      </c>
      <c r="L34" s="19" t="s">
        <v>233</v>
      </c>
      <c r="M34" s="24" t="s">
        <v>106</v>
      </c>
    </row>
    <row r="35" spans="4:13" x14ac:dyDescent="0.3">
      <c r="D35" s="28" t="s">
        <v>79</v>
      </c>
      <c r="L35" s="18" t="s">
        <v>234</v>
      </c>
      <c r="M35" s="23" t="s">
        <v>106</v>
      </c>
    </row>
    <row r="36" spans="4:13" x14ac:dyDescent="0.3">
      <c r="D36" s="25" t="s">
        <v>78</v>
      </c>
      <c r="L36" s="19" t="s">
        <v>235</v>
      </c>
      <c r="M36" s="24" t="s">
        <v>106</v>
      </c>
    </row>
    <row r="37" spans="4:13" x14ac:dyDescent="0.3">
      <c r="D37" s="28" t="s">
        <v>77</v>
      </c>
      <c r="L37" s="18" t="s">
        <v>236</v>
      </c>
      <c r="M37" s="23" t="s">
        <v>106</v>
      </c>
    </row>
    <row r="38" spans="4:13" x14ac:dyDescent="0.3">
      <c r="D38" s="25" t="s">
        <v>57</v>
      </c>
      <c r="L38" s="19" t="s">
        <v>237</v>
      </c>
      <c r="M38" s="24" t="s">
        <v>106</v>
      </c>
    </row>
    <row r="39" spans="4:13" x14ac:dyDescent="0.3">
      <c r="D39" s="28" t="s">
        <v>74</v>
      </c>
      <c r="L39" s="18" t="s">
        <v>238</v>
      </c>
      <c r="M39" s="23" t="s">
        <v>106</v>
      </c>
    </row>
    <row r="40" spans="4:13" x14ac:dyDescent="0.3">
      <c r="D40" s="25" t="s">
        <v>30</v>
      </c>
      <c r="L40" s="19" t="s">
        <v>239</v>
      </c>
      <c r="M40" s="24" t="s">
        <v>106</v>
      </c>
    </row>
    <row r="41" spans="4:13" x14ac:dyDescent="0.3">
      <c r="D41" s="28" t="s">
        <v>73</v>
      </c>
      <c r="L41" s="18" t="s">
        <v>240</v>
      </c>
      <c r="M41" s="23" t="s">
        <v>106</v>
      </c>
    </row>
    <row r="42" spans="4:13" x14ac:dyDescent="0.3">
      <c r="D42" s="25" t="s">
        <v>72</v>
      </c>
      <c r="L42" s="19" t="s">
        <v>241</v>
      </c>
      <c r="M42" s="24" t="s">
        <v>106</v>
      </c>
    </row>
    <row r="43" spans="4:13" x14ac:dyDescent="0.3">
      <c r="D43" s="28" t="s">
        <v>71</v>
      </c>
      <c r="L43" s="18" t="s">
        <v>242</v>
      </c>
      <c r="M43" s="23" t="s">
        <v>106</v>
      </c>
    </row>
    <row r="44" spans="4:13" x14ac:dyDescent="0.3">
      <c r="D44" s="25" t="s">
        <v>70</v>
      </c>
      <c r="L44" s="19" t="s">
        <v>243</v>
      </c>
      <c r="M44" s="24" t="s">
        <v>106</v>
      </c>
    </row>
    <row r="45" spans="4:13" x14ac:dyDescent="0.3">
      <c r="D45" s="28" t="s">
        <v>69</v>
      </c>
      <c r="L45" s="18" t="s">
        <v>244</v>
      </c>
      <c r="M45" s="23" t="s">
        <v>106</v>
      </c>
    </row>
    <row r="46" spans="4:13" x14ac:dyDescent="0.3">
      <c r="D46" s="25" t="s">
        <v>68</v>
      </c>
      <c r="L46" s="19" t="s">
        <v>245</v>
      </c>
      <c r="M46" s="24" t="s">
        <v>106</v>
      </c>
    </row>
    <row r="47" spans="4:13" x14ac:dyDescent="0.3">
      <c r="D47" s="28" t="s">
        <v>67</v>
      </c>
      <c r="L47" s="18" t="s">
        <v>246</v>
      </c>
      <c r="M47" s="23" t="s">
        <v>106</v>
      </c>
    </row>
    <row r="48" spans="4:13" x14ac:dyDescent="0.3">
      <c r="D48" s="25" t="s">
        <v>66</v>
      </c>
      <c r="L48" s="19" t="s">
        <v>247</v>
      </c>
      <c r="M48" s="24" t="s">
        <v>106</v>
      </c>
    </row>
    <row r="49" spans="4:13" x14ac:dyDescent="0.3">
      <c r="D49" s="28" t="s">
        <v>65</v>
      </c>
      <c r="L49" s="18" t="s">
        <v>248</v>
      </c>
      <c r="M49" s="23" t="s">
        <v>106</v>
      </c>
    </row>
    <row r="50" spans="4:13" x14ac:dyDescent="0.3">
      <c r="D50" s="25" t="s">
        <v>63</v>
      </c>
      <c r="L50" s="19" t="s">
        <v>249</v>
      </c>
      <c r="M50" s="24" t="s">
        <v>106</v>
      </c>
    </row>
    <row r="51" spans="4:13" x14ac:dyDescent="0.3">
      <c r="D51" s="28" t="s">
        <v>149</v>
      </c>
      <c r="L51" s="18" t="s">
        <v>250</v>
      </c>
      <c r="M51" s="23" t="s">
        <v>106</v>
      </c>
    </row>
    <row r="52" spans="4:13" x14ac:dyDescent="0.3">
      <c r="D52" s="25" t="s">
        <v>64</v>
      </c>
      <c r="L52" s="19" t="s">
        <v>251</v>
      </c>
      <c r="M52" s="24" t="s">
        <v>106</v>
      </c>
    </row>
    <row r="53" spans="4:13" x14ac:dyDescent="0.3">
      <c r="D53" s="28" t="s">
        <v>62</v>
      </c>
      <c r="L53" s="18" t="s">
        <v>252</v>
      </c>
      <c r="M53" s="23" t="s">
        <v>106</v>
      </c>
    </row>
    <row r="54" spans="4:13" x14ac:dyDescent="0.3">
      <c r="D54" s="25" t="s">
        <v>60</v>
      </c>
      <c r="L54" s="19" t="s">
        <v>253</v>
      </c>
      <c r="M54" s="24" t="s">
        <v>106</v>
      </c>
    </row>
    <row r="55" spans="4:13" x14ac:dyDescent="0.3">
      <c r="D55" s="28" t="s">
        <v>61</v>
      </c>
      <c r="L55" s="18" t="s">
        <v>254</v>
      </c>
      <c r="M55" s="23" t="s">
        <v>106</v>
      </c>
    </row>
    <row r="56" spans="4:13" x14ac:dyDescent="0.3">
      <c r="D56" s="25" t="s">
        <v>59</v>
      </c>
      <c r="L56" s="19" t="s">
        <v>255</v>
      </c>
      <c r="M56" s="24" t="s">
        <v>106</v>
      </c>
    </row>
    <row r="57" spans="4:13" x14ac:dyDescent="0.3">
      <c r="L57" s="18" t="s">
        <v>256</v>
      </c>
      <c r="M57" s="23" t="s">
        <v>106</v>
      </c>
    </row>
    <row r="58" spans="4:13" x14ac:dyDescent="0.3">
      <c r="D58" s="1" t="s">
        <v>2185</v>
      </c>
      <c r="L58" s="19" t="s">
        <v>257</v>
      </c>
      <c r="M58" s="24" t="s">
        <v>106</v>
      </c>
    </row>
    <row r="59" spans="4:13" x14ac:dyDescent="0.3">
      <c r="L59" s="18" t="s">
        <v>258</v>
      </c>
      <c r="M59" s="23" t="s">
        <v>106</v>
      </c>
    </row>
    <row r="60" spans="4:13" x14ac:dyDescent="0.3">
      <c r="L60" s="19" t="s">
        <v>259</v>
      </c>
      <c r="M60" s="24" t="s">
        <v>106</v>
      </c>
    </row>
    <row r="61" spans="4:13" x14ac:dyDescent="0.3">
      <c r="L61" s="18" t="s">
        <v>260</v>
      </c>
      <c r="M61" s="23" t="s">
        <v>106</v>
      </c>
    </row>
    <row r="62" spans="4:13" x14ac:dyDescent="0.3">
      <c r="L62" s="19" t="s">
        <v>261</v>
      </c>
      <c r="M62" s="24" t="s">
        <v>106</v>
      </c>
    </row>
    <row r="63" spans="4:13" x14ac:dyDescent="0.3">
      <c r="L63" s="18" t="s">
        <v>262</v>
      </c>
      <c r="M63" s="23" t="s">
        <v>106</v>
      </c>
    </row>
    <row r="64" spans="4:13" x14ac:dyDescent="0.3">
      <c r="L64" s="19" t="s">
        <v>263</v>
      </c>
      <c r="M64" s="24" t="s">
        <v>106</v>
      </c>
    </row>
    <row r="65" spans="12:13" x14ac:dyDescent="0.3">
      <c r="L65" s="18" t="s">
        <v>264</v>
      </c>
      <c r="M65" s="23" t="s">
        <v>106</v>
      </c>
    </row>
    <row r="66" spans="12:13" x14ac:dyDescent="0.3">
      <c r="L66" s="19" t="s">
        <v>265</v>
      </c>
      <c r="M66" s="24" t="s">
        <v>106</v>
      </c>
    </row>
    <row r="67" spans="12:13" x14ac:dyDescent="0.3">
      <c r="L67" s="18" t="s">
        <v>266</v>
      </c>
      <c r="M67" s="23" t="s">
        <v>106</v>
      </c>
    </row>
    <row r="68" spans="12:13" x14ac:dyDescent="0.3">
      <c r="L68" s="19" t="s">
        <v>267</v>
      </c>
      <c r="M68" s="24" t="s">
        <v>106</v>
      </c>
    </row>
    <row r="69" spans="12:13" x14ac:dyDescent="0.3">
      <c r="L69" s="18" t="s">
        <v>268</v>
      </c>
      <c r="M69" s="23" t="s">
        <v>106</v>
      </c>
    </row>
    <row r="70" spans="12:13" x14ac:dyDescent="0.3">
      <c r="L70" s="19" t="s">
        <v>269</v>
      </c>
      <c r="M70" s="24" t="s">
        <v>105</v>
      </c>
    </row>
    <row r="71" spans="12:13" x14ac:dyDescent="0.3">
      <c r="L71" s="18" t="s">
        <v>270</v>
      </c>
      <c r="M71" s="23" t="s">
        <v>105</v>
      </c>
    </row>
    <row r="72" spans="12:13" x14ac:dyDescent="0.3">
      <c r="L72" s="19" t="s">
        <v>271</v>
      </c>
      <c r="M72" s="24" t="s">
        <v>105</v>
      </c>
    </row>
    <row r="73" spans="12:13" x14ac:dyDescent="0.3">
      <c r="L73" s="18" t="s">
        <v>272</v>
      </c>
      <c r="M73" s="23" t="s">
        <v>105</v>
      </c>
    </row>
    <row r="74" spans="12:13" x14ac:dyDescent="0.3">
      <c r="L74" s="19" t="s">
        <v>273</v>
      </c>
      <c r="M74" s="24" t="s">
        <v>105</v>
      </c>
    </row>
    <row r="75" spans="12:13" x14ac:dyDescent="0.3">
      <c r="L75" s="18" t="s">
        <v>274</v>
      </c>
      <c r="M75" s="23" t="s">
        <v>105</v>
      </c>
    </row>
    <row r="76" spans="12:13" x14ac:dyDescent="0.3">
      <c r="L76" s="19" t="s">
        <v>275</v>
      </c>
      <c r="M76" s="24" t="s">
        <v>105</v>
      </c>
    </row>
    <row r="77" spans="12:13" x14ac:dyDescent="0.3">
      <c r="L77" s="18" t="s">
        <v>276</v>
      </c>
      <c r="M77" s="23" t="s">
        <v>105</v>
      </c>
    </row>
    <row r="78" spans="12:13" x14ac:dyDescent="0.3">
      <c r="L78" s="19" t="s">
        <v>277</v>
      </c>
      <c r="M78" s="24" t="s">
        <v>105</v>
      </c>
    </row>
    <row r="79" spans="12:13" x14ac:dyDescent="0.3">
      <c r="L79" s="18" t="s">
        <v>278</v>
      </c>
      <c r="M79" s="23" t="s">
        <v>105</v>
      </c>
    </row>
    <row r="80" spans="12:13" x14ac:dyDescent="0.3">
      <c r="L80" s="19" t="s">
        <v>279</v>
      </c>
      <c r="M80" s="24" t="s">
        <v>105</v>
      </c>
    </row>
    <row r="81" spans="12:13" x14ac:dyDescent="0.3">
      <c r="L81" s="18" t="s">
        <v>280</v>
      </c>
      <c r="M81" s="23" t="s">
        <v>105</v>
      </c>
    </row>
    <row r="82" spans="12:13" x14ac:dyDescent="0.3">
      <c r="L82" s="19" t="s">
        <v>281</v>
      </c>
      <c r="M82" s="24" t="s">
        <v>105</v>
      </c>
    </row>
    <row r="83" spans="12:13" x14ac:dyDescent="0.3">
      <c r="L83" s="18" t="s">
        <v>282</v>
      </c>
      <c r="M83" s="23" t="s">
        <v>105</v>
      </c>
    </row>
    <row r="84" spans="12:13" x14ac:dyDescent="0.3">
      <c r="L84" s="19" t="s">
        <v>283</v>
      </c>
      <c r="M84" s="24" t="s">
        <v>105</v>
      </c>
    </row>
    <row r="85" spans="12:13" x14ac:dyDescent="0.3">
      <c r="L85" s="18" t="s">
        <v>284</v>
      </c>
      <c r="M85" s="23" t="s">
        <v>105</v>
      </c>
    </row>
    <row r="86" spans="12:13" x14ac:dyDescent="0.3">
      <c r="L86" s="19" t="s">
        <v>285</v>
      </c>
      <c r="M86" s="24" t="s">
        <v>105</v>
      </c>
    </row>
    <row r="87" spans="12:13" x14ac:dyDescent="0.3">
      <c r="L87" s="18" t="s">
        <v>286</v>
      </c>
      <c r="M87" s="23" t="s">
        <v>105</v>
      </c>
    </row>
    <row r="88" spans="12:13" x14ac:dyDescent="0.3">
      <c r="L88" s="19" t="s">
        <v>287</v>
      </c>
      <c r="M88" s="24" t="s">
        <v>105</v>
      </c>
    </row>
    <row r="89" spans="12:13" x14ac:dyDescent="0.3">
      <c r="L89" s="18" t="s">
        <v>288</v>
      </c>
      <c r="M89" s="23" t="s">
        <v>105</v>
      </c>
    </row>
    <row r="90" spans="12:13" x14ac:dyDescent="0.3">
      <c r="L90" s="19" t="s">
        <v>289</v>
      </c>
      <c r="M90" s="24" t="s">
        <v>105</v>
      </c>
    </row>
    <row r="91" spans="12:13" x14ac:dyDescent="0.3">
      <c r="L91" s="18" t="s">
        <v>290</v>
      </c>
      <c r="M91" s="23" t="s">
        <v>105</v>
      </c>
    </row>
    <row r="92" spans="12:13" x14ac:dyDescent="0.3">
      <c r="L92" s="19" t="s">
        <v>291</v>
      </c>
      <c r="M92" s="24" t="s">
        <v>105</v>
      </c>
    </row>
    <row r="93" spans="12:13" x14ac:dyDescent="0.3">
      <c r="L93" s="18" t="s">
        <v>292</v>
      </c>
      <c r="M93" s="23" t="s">
        <v>105</v>
      </c>
    </row>
    <row r="94" spans="12:13" x14ac:dyDescent="0.3">
      <c r="L94" s="19" t="s">
        <v>293</v>
      </c>
      <c r="M94" s="24" t="s">
        <v>105</v>
      </c>
    </row>
    <row r="95" spans="12:13" x14ac:dyDescent="0.3">
      <c r="L95" s="18" t="s">
        <v>294</v>
      </c>
      <c r="M95" s="23" t="s">
        <v>104</v>
      </c>
    </row>
    <row r="96" spans="12:13" x14ac:dyDescent="0.3">
      <c r="L96" s="19" t="s">
        <v>295</v>
      </c>
      <c r="M96" s="24" t="s">
        <v>104</v>
      </c>
    </row>
    <row r="97" spans="12:13" x14ac:dyDescent="0.3">
      <c r="L97" s="18" t="s">
        <v>296</v>
      </c>
      <c r="M97" s="23" t="s">
        <v>104</v>
      </c>
    </row>
    <row r="98" spans="12:13" x14ac:dyDescent="0.3">
      <c r="L98" s="19" t="s">
        <v>297</v>
      </c>
      <c r="M98" s="24" t="s">
        <v>104</v>
      </c>
    </row>
    <row r="99" spans="12:13" x14ac:dyDescent="0.3">
      <c r="L99" s="18" t="s">
        <v>298</v>
      </c>
      <c r="M99" s="23" t="s">
        <v>104</v>
      </c>
    </row>
    <row r="100" spans="12:13" x14ac:dyDescent="0.3">
      <c r="L100" s="19" t="s">
        <v>299</v>
      </c>
      <c r="M100" s="24" t="s">
        <v>104</v>
      </c>
    </row>
    <row r="101" spans="12:13" x14ac:dyDescent="0.3">
      <c r="L101" s="18" t="s">
        <v>300</v>
      </c>
      <c r="M101" s="23" t="s">
        <v>104</v>
      </c>
    </row>
    <row r="102" spans="12:13" x14ac:dyDescent="0.3">
      <c r="L102" s="19" t="s">
        <v>301</v>
      </c>
      <c r="M102" s="24" t="s">
        <v>104</v>
      </c>
    </row>
    <row r="103" spans="12:13" x14ac:dyDescent="0.3">
      <c r="L103" s="18" t="s">
        <v>302</v>
      </c>
      <c r="M103" s="23" t="s">
        <v>104</v>
      </c>
    </row>
    <row r="104" spans="12:13" x14ac:dyDescent="0.3">
      <c r="L104" s="19" t="s">
        <v>303</v>
      </c>
      <c r="M104" s="24" t="s">
        <v>104</v>
      </c>
    </row>
    <row r="105" spans="12:13" x14ac:dyDescent="0.3">
      <c r="L105" s="18" t="s">
        <v>304</v>
      </c>
      <c r="M105" s="23" t="s">
        <v>104</v>
      </c>
    </row>
    <row r="106" spans="12:13" x14ac:dyDescent="0.3">
      <c r="L106" s="19" t="s">
        <v>305</v>
      </c>
      <c r="M106" s="24" t="s">
        <v>104</v>
      </c>
    </row>
    <row r="107" spans="12:13" x14ac:dyDescent="0.3">
      <c r="L107" s="18" t="s">
        <v>306</v>
      </c>
      <c r="M107" s="23" t="s">
        <v>104</v>
      </c>
    </row>
    <row r="108" spans="12:13" x14ac:dyDescent="0.3">
      <c r="L108" s="19" t="s">
        <v>307</v>
      </c>
      <c r="M108" s="24" t="s">
        <v>104</v>
      </c>
    </row>
    <row r="109" spans="12:13" x14ac:dyDescent="0.3">
      <c r="L109" s="18" t="s">
        <v>308</v>
      </c>
      <c r="M109" s="23" t="s">
        <v>104</v>
      </c>
    </row>
    <row r="110" spans="12:13" x14ac:dyDescent="0.3">
      <c r="L110" s="19" t="s">
        <v>309</v>
      </c>
      <c r="M110" s="24" t="s">
        <v>103</v>
      </c>
    </row>
    <row r="111" spans="12:13" x14ac:dyDescent="0.3">
      <c r="L111" s="18" t="s">
        <v>310</v>
      </c>
      <c r="M111" s="23" t="s">
        <v>103</v>
      </c>
    </row>
    <row r="112" spans="12:13" x14ac:dyDescent="0.3">
      <c r="L112" s="19" t="s">
        <v>311</v>
      </c>
      <c r="M112" s="24" t="s">
        <v>103</v>
      </c>
    </row>
    <row r="113" spans="12:13" x14ac:dyDescent="0.3">
      <c r="L113" s="18" t="s">
        <v>312</v>
      </c>
      <c r="M113" s="23" t="s">
        <v>103</v>
      </c>
    </row>
    <row r="114" spans="12:13" x14ac:dyDescent="0.3">
      <c r="L114" s="19" t="s">
        <v>313</v>
      </c>
      <c r="M114" s="24" t="s">
        <v>103</v>
      </c>
    </row>
    <row r="115" spans="12:13" x14ac:dyDescent="0.3">
      <c r="L115" s="18" t="s">
        <v>314</v>
      </c>
      <c r="M115" s="23" t="s">
        <v>103</v>
      </c>
    </row>
    <row r="116" spans="12:13" x14ac:dyDescent="0.3">
      <c r="L116" s="19" t="s">
        <v>209</v>
      </c>
      <c r="M116" s="24" t="s">
        <v>103</v>
      </c>
    </row>
    <row r="117" spans="12:13" x14ac:dyDescent="0.3">
      <c r="L117" s="18" t="s">
        <v>315</v>
      </c>
      <c r="M117" s="23" t="s">
        <v>103</v>
      </c>
    </row>
    <row r="118" spans="12:13" x14ac:dyDescent="0.3">
      <c r="L118" s="19" t="s">
        <v>316</v>
      </c>
      <c r="M118" s="24" t="s">
        <v>103</v>
      </c>
    </row>
    <row r="119" spans="12:13" x14ac:dyDescent="0.3">
      <c r="L119" s="18" t="s">
        <v>317</v>
      </c>
      <c r="M119" s="23" t="s">
        <v>103</v>
      </c>
    </row>
    <row r="120" spans="12:13" x14ac:dyDescent="0.3">
      <c r="L120" s="19" t="s">
        <v>215</v>
      </c>
      <c r="M120" s="24" t="s">
        <v>103</v>
      </c>
    </row>
    <row r="121" spans="12:13" x14ac:dyDescent="0.3">
      <c r="L121" s="18" t="s">
        <v>216</v>
      </c>
      <c r="M121" s="23" t="s">
        <v>103</v>
      </c>
    </row>
    <row r="122" spans="12:13" x14ac:dyDescent="0.3">
      <c r="L122" s="19" t="s">
        <v>318</v>
      </c>
      <c r="M122" s="24" t="s">
        <v>103</v>
      </c>
    </row>
    <row r="123" spans="12:13" x14ac:dyDescent="0.3">
      <c r="L123" s="18" t="s">
        <v>319</v>
      </c>
      <c r="M123" s="23" t="s">
        <v>103</v>
      </c>
    </row>
    <row r="124" spans="12:13" x14ac:dyDescent="0.3">
      <c r="L124" s="19" t="s">
        <v>320</v>
      </c>
      <c r="M124" s="24" t="s">
        <v>103</v>
      </c>
    </row>
    <row r="125" spans="12:13" x14ac:dyDescent="0.3">
      <c r="L125" s="18" t="s">
        <v>321</v>
      </c>
      <c r="M125" s="23" t="s">
        <v>103</v>
      </c>
    </row>
    <row r="126" spans="12:13" x14ac:dyDescent="0.3">
      <c r="L126" s="19" t="s">
        <v>322</v>
      </c>
      <c r="M126" s="24" t="s">
        <v>103</v>
      </c>
    </row>
    <row r="127" spans="12:13" x14ac:dyDescent="0.3">
      <c r="L127" s="18" t="s">
        <v>323</v>
      </c>
      <c r="M127" s="23" t="s">
        <v>103</v>
      </c>
    </row>
    <row r="128" spans="12:13" x14ac:dyDescent="0.3">
      <c r="L128" s="19" t="s">
        <v>324</v>
      </c>
      <c r="M128" s="24" t="s">
        <v>103</v>
      </c>
    </row>
    <row r="129" spans="12:13" x14ac:dyDescent="0.3">
      <c r="L129" s="18" t="s">
        <v>225</v>
      </c>
      <c r="M129" s="23" t="s">
        <v>103</v>
      </c>
    </row>
    <row r="130" spans="12:13" x14ac:dyDescent="0.3">
      <c r="L130" s="19" t="s">
        <v>325</v>
      </c>
      <c r="M130" s="24" t="s">
        <v>103</v>
      </c>
    </row>
    <row r="131" spans="12:13" x14ac:dyDescent="0.3">
      <c r="L131" s="18" t="s">
        <v>326</v>
      </c>
      <c r="M131" s="23" t="s">
        <v>103</v>
      </c>
    </row>
    <row r="132" spans="12:13" x14ac:dyDescent="0.3">
      <c r="L132" s="19" t="s">
        <v>327</v>
      </c>
      <c r="M132" s="24" t="s">
        <v>103</v>
      </c>
    </row>
    <row r="133" spans="12:13" x14ac:dyDescent="0.3">
      <c r="L133" s="18" t="s">
        <v>231</v>
      </c>
      <c r="M133" s="23" t="s">
        <v>103</v>
      </c>
    </row>
    <row r="134" spans="12:13" x14ac:dyDescent="0.3">
      <c r="L134" s="19" t="s">
        <v>328</v>
      </c>
      <c r="M134" s="24" t="s">
        <v>103</v>
      </c>
    </row>
    <row r="135" spans="12:13" x14ac:dyDescent="0.3">
      <c r="L135" s="18" t="s">
        <v>329</v>
      </c>
      <c r="M135" s="23" t="s">
        <v>103</v>
      </c>
    </row>
    <row r="136" spans="12:13" x14ac:dyDescent="0.3">
      <c r="L136" s="19" t="s">
        <v>330</v>
      </c>
      <c r="M136" s="24" t="s">
        <v>103</v>
      </c>
    </row>
    <row r="137" spans="12:13" x14ac:dyDescent="0.3">
      <c r="L137" s="18" t="s">
        <v>233</v>
      </c>
      <c r="M137" s="23" t="s">
        <v>103</v>
      </c>
    </row>
    <row r="138" spans="12:13" x14ac:dyDescent="0.3">
      <c r="L138" s="19" t="s">
        <v>331</v>
      </c>
      <c r="M138" s="24" t="s">
        <v>103</v>
      </c>
    </row>
    <row r="139" spans="12:13" x14ac:dyDescent="0.3">
      <c r="L139" s="18" t="s">
        <v>332</v>
      </c>
      <c r="M139" s="23" t="s">
        <v>103</v>
      </c>
    </row>
    <row r="140" spans="12:13" x14ac:dyDescent="0.3">
      <c r="L140" s="19" t="s">
        <v>333</v>
      </c>
      <c r="M140" s="24" t="s">
        <v>103</v>
      </c>
    </row>
    <row r="141" spans="12:13" x14ac:dyDescent="0.3">
      <c r="L141" s="18" t="s">
        <v>334</v>
      </c>
      <c r="M141" s="23" t="s">
        <v>103</v>
      </c>
    </row>
    <row r="142" spans="12:13" x14ac:dyDescent="0.3">
      <c r="L142" s="19" t="s">
        <v>335</v>
      </c>
      <c r="M142" s="24" t="s">
        <v>103</v>
      </c>
    </row>
    <row r="143" spans="12:13" x14ac:dyDescent="0.3">
      <c r="L143" s="18" t="s">
        <v>237</v>
      </c>
      <c r="M143" s="23" t="s">
        <v>103</v>
      </c>
    </row>
    <row r="144" spans="12:13" x14ac:dyDescent="0.3">
      <c r="L144" s="19" t="s">
        <v>238</v>
      </c>
      <c r="M144" s="24" t="s">
        <v>103</v>
      </c>
    </row>
    <row r="145" spans="12:13" x14ac:dyDescent="0.3">
      <c r="L145" s="18" t="s">
        <v>336</v>
      </c>
      <c r="M145" s="23" t="s">
        <v>103</v>
      </c>
    </row>
    <row r="146" spans="12:13" x14ac:dyDescent="0.3">
      <c r="L146" s="19" t="s">
        <v>337</v>
      </c>
      <c r="M146" s="24" t="s">
        <v>103</v>
      </c>
    </row>
    <row r="147" spans="12:13" x14ac:dyDescent="0.3">
      <c r="L147" s="18" t="s">
        <v>241</v>
      </c>
      <c r="M147" s="23" t="s">
        <v>103</v>
      </c>
    </row>
    <row r="148" spans="12:13" x14ac:dyDescent="0.3">
      <c r="L148" s="19" t="s">
        <v>242</v>
      </c>
      <c r="M148" s="24" t="s">
        <v>103</v>
      </c>
    </row>
    <row r="149" spans="12:13" x14ac:dyDescent="0.3">
      <c r="L149" s="18" t="s">
        <v>338</v>
      </c>
      <c r="M149" s="23" t="s">
        <v>103</v>
      </c>
    </row>
    <row r="150" spans="12:13" x14ac:dyDescent="0.3">
      <c r="L150" s="19" t="s">
        <v>339</v>
      </c>
      <c r="M150" s="24" t="s">
        <v>103</v>
      </c>
    </row>
    <row r="151" spans="12:13" x14ac:dyDescent="0.3">
      <c r="L151" s="18" t="s">
        <v>340</v>
      </c>
      <c r="M151" s="23" t="s">
        <v>103</v>
      </c>
    </row>
    <row r="152" spans="12:13" x14ac:dyDescent="0.3">
      <c r="L152" s="19" t="s">
        <v>341</v>
      </c>
      <c r="M152" s="24" t="s">
        <v>103</v>
      </c>
    </row>
    <row r="153" spans="12:13" x14ac:dyDescent="0.3">
      <c r="L153" s="18" t="s">
        <v>246</v>
      </c>
      <c r="M153" s="23" t="s">
        <v>103</v>
      </c>
    </row>
    <row r="154" spans="12:13" x14ac:dyDescent="0.3">
      <c r="L154" s="19" t="s">
        <v>248</v>
      </c>
      <c r="M154" s="24" t="s">
        <v>103</v>
      </c>
    </row>
    <row r="155" spans="12:13" x14ac:dyDescent="0.3">
      <c r="L155" s="18" t="s">
        <v>342</v>
      </c>
      <c r="M155" s="23" t="s">
        <v>103</v>
      </c>
    </row>
    <row r="156" spans="12:13" x14ac:dyDescent="0.3">
      <c r="L156" s="19" t="s">
        <v>343</v>
      </c>
      <c r="M156" s="24" t="s">
        <v>103</v>
      </c>
    </row>
    <row r="157" spans="12:13" x14ac:dyDescent="0.3">
      <c r="L157" s="18" t="s">
        <v>251</v>
      </c>
      <c r="M157" s="23" t="s">
        <v>103</v>
      </c>
    </row>
    <row r="158" spans="12:13" x14ac:dyDescent="0.3">
      <c r="L158" s="19" t="s">
        <v>252</v>
      </c>
      <c r="M158" s="24" t="s">
        <v>103</v>
      </c>
    </row>
    <row r="159" spans="12:13" x14ac:dyDescent="0.3">
      <c r="L159" s="18" t="s">
        <v>344</v>
      </c>
      <c r="M159" s="23" t="s">
        <v>103</v>
      </c>
    </row>
    <row r="160" spans="12:13" x14ac:dyDescent="0.3">
      <c r="L160" s="19" t="s">
        <v>345</v>
      </c>
      <c r="M160" s="24" t="s">
        <v>103</v>
      </c>
    </row>
    <row r="161" spans="12:13" x14ac:dyDescent="0.3">
      <c r="L161" s="18" t="s">
        <v>346</v>
      </c>
      <c r="M161" s="23" t="s">
        <v>103</v>
      </c>
    </row>
    <row r="162" spans="12:13" x14ac:dyDescent="0.3">
      <c r="L162" s="19" t="s">
        <v>254</v>
      </c>
      <c r="M162" s="24" t="s">
        <v>103</v>
      </c>
    </row>
    <row r="163" spans="12:13" x14ac:dyDescent="0.3">
      <c r="L163" s="18" t="s">
        <v>347</v>
      </c>
      <c r="M163" s="23" t="s">
        <v>103</v>
      </c>
    </row>
    <row r="164" spans="12:13" x14ac:dyDescent="0.3">
      <c r="L164" s="19" t="s">
        <v>256</v>
      </c>
      <c r="M164" s="24" t="s">
        <v>103</v>
      </c>
    </row>
    <row r="165" spans="12:13" x14ac:dyDescent="0.3">
      <c r="L165" s="18" t="s">
        <v>348</v>
      </c>
      <c r="M165" s="23" t="s">
        <v>103</v>
      </c>
    </row>
    <row r="166" spans="12:13" x14ac:dyDescent="0.3">
      <c r="L166" s="19" t="s">
        <v>349</v>
      </c>
      <c r="M166" s="24" t="s">
        <v>103</v>
      </c>
    </row>
    <row r="167" spans="12:13" x14ac:dyDescent="0.3">
      <c r="L167" s="18" t="s">
        <v>350</v>
      </c>
      <c r="M167" s="23" t="s">
        <v>103</v>
      </c>
    </row>
    <row r="168" spans="12:13" x14ac:dyDescent="0.3">
      <c r="L168" s="19" t="s">
        <v>351</v>
      </c>
      <c r="M168" s="24" t="s">
        <v>103</v>
      </c>
    </row>
    <row r="169" spans="12:13" x14ac:dyDescent="0.3">
      <c r="L169" s="18" t="s">
        <v>352</v>
      </c>
      <c r="M169" s="23" t="s">
        <v>103</v>
      </c>
    </row>
    <row r="170" spans="12:13" x14ac:dyDescent="0.3">
      <c r="L170" s="19" t="s">
        <v>257</v>
      </c>
      <c r="M170" s="24" t="s">
        <v>103</v>
      </c>
    </row>
    <row r="171" spans="12:13" x14ac:dyDescent="0.3">
      <c r="L171" s="18" t="s">
        <v>353</v>
      </c>
      <c r="M171" s="23" t="s">
        <v>103</v>
      </c>
    </row>
    <row r="172" spans="12:13" x14ac:dyDescent="0.3">
      <c r="L172" s="19" t="s">
        <v>354</v>
      </c>
      <c r="M172" s="24" t="s">
        <v>103</v>
      </c>
    </row>
    <row r="173" spans="12:13" x14ac:dyDescent="0.3">
      <c r="L173" s="18" t="s">
        <v>355</v>
      </c>
      <c r="M173" s="23" t="s">
        <v>103</v>
      </c>
    </row>
    <row r="174" spans="12:13" x14ac:dyDescent="0.3">
      <c r="L174" s="19" t="s">
        <v>356</v>
      </c>
      <c r="M174" s="24" t="s">
        <v>103</v>
      </c>
    </row>
    <row r="175" spans="12:13" x14ac:dyDescent="0.3">
      <c r="L175" s="18" t="s">
        <v>357</v>
      </c>
      <c r="M175" s="23" t="s">
        <v>103</v>
      </c>
    </row>
    <row r="176" spans="12:13" x14ac:dyDescent="0.3">
      <c r="L176" s="19" t="s">
        <v>358</v>
      </c>
      <c r="M176" s="24" t="s">
        <v>103</v>
      </c>
    </row>
    <row r="177" spans="12:13" x14ac:dyDescent="0.3">
      <c r="L177" s="18" t="s">
        <v>359</v>
      </c>
      <c r="M177" s="23" t="s">
        <v>103</v>
      </c>
    </row>
    <row r="178" spans="12:13" x14ac:dyDescent="0.3">
      <c r="L178" s="19" t="s">
        <v>360</v>
      </c>
      <c r="M178" s="24" t="s">
        <v>103</v>
      </c>
    </row>
    <row r="179" spans="12:13" x14ac:dyDescent="0.3">
      <c r="L179" s="18" t="s">
        <v>361</v>
      </c>
      <c r="M179" s="23" t="s">
        <v>103</v>
      </c>
    </row>
    <row r="180" spans="12:13" x14ac:dyDescent="0.3">
      <c r="L180" s="19" t="s">
        <v>362</v>
      </c>
      <c r="M180" s="24" t="s">
        <v>103</v>
      </c>
    </row>
    <row r="181" spans="12:13" x14ac:dyDescent="0.3">
      <c r="L181" s="18" t="s">
        <v>266</v>
      </c>
      <c r="M181" s="23" t="s">
        <v>103</v>
      </c>
    </row>
    <row r="182" spans="12:13" x14ac:dyDescent="0.3">
      <c r="L182" s="19" t="s">
        <v>363</v>
      </c>
      <c r="M182" s="24" t="s">
        <v>103</v>
      </c>
    </row>
    <row r="183" spans="12:13" x14ac:dyDescent="0.3">
      <c r="L183" s="18" t="s">
        <v>364</v>
      </c>
      <c r="M183" s="23" t="s">
        <v>103</v>
      </c>
    </row>
    <row r="184" spans="12:13" x14ac:dyDescent="0.3">
      <c r="L184" s="19" t="s">
        <v>365</v>
      </c>
      <c r="M184" s="24" t="s">
        <v>103</v>
      </c>
    </row>
    <row r="185" spans="12:13" x14ac:dyDescent="0.3">
      <c r="L185" s="18" t="s">
        <v>366</v>
      </c>
      <c r="M185" s="23" t="s">
        <v>102</v>
      </c>
    </row>
    <row r="186" spans="12:13" x14ac:dyDescent="0.3">
      <c r="L186" s="19" t="s">
        <v>367</v>
      </c>
      <c r="M186" s="24" t="s">
        <v>102</v>
      </c>
    </row>
    <row r="187" spans="12:13" x14ac:dyDescent="0.3">
      <c r="L187" s="18" t="s">
        <v>368</v>
      </c>
      <c r="M187" s="23" t="s">
        <v>102</v>
      </c>
    </row>
    <row r="188" spans="12:13" x14ac:dyDescent="0.3">
      <c r="L188" s="19" t="s">
        <v>369</v>
      </c>
      <c r="M188" s="24" t="s">
        <v>102</v>
      </c>
    </row>
    <row r="189" spans="12:13" x14ac:dyDescent="0.3">
      <c r="L189" s="18" t="s">
        <v>370</v>
      </c>
      <c r="M189" s="23" t="s">
        <v>102</v>
      </c>
    </row>
    <row r="190" spans="12:13" x14ac:dyDescent="0.3">
      <c r="L190" s="19" t="s">
        <v>371</v>
      </c>
      <c r="M190" s="24" t="s">
        <v>102</v>
      </c>
    </row>
    <row r="191" spans="12:13" x14ac:dyDescent="0.3">
      <c r="L191" s="18" t="s">
        <v>372</v>
      </c>
      <c r="M191" s="23" t="s">
        <v>102</v>
      </c>
    </row>
    <row r="192" spans="12:13" x14ac:dyDescent="0.3">
      <c r="L192" s="19" t="s">
        <v>373</v>
      </c>
      <c r="M192" s="24" t="s">
        <v>102</v>
      </c>
    </row>
    <row r="193" spans="12:13" x14ac:dyDescent="0.3">
      <c r="L193" s="18" t="s">
        <v>374</v>
      </c>
      <c r="M193" s="23" t="s">
        <v>102</v>
      </c>
    </row>
    <row r="194" spans="12:13" x14ac:dyDescent="0.3">
      <c r="L194" s="19" t="s">
        <v>375</v>
      </c>
      <c r="M194" s="24" t="s">
        <v>102</v>
      </c>
    </row>
    <row r="195" spans="12:13" x14ac:dyDescent="0.3">
      <c r="L195" s="18" t="s">
        <v>376</v>
      </c>
      <c r="M195" s="23" t="s">
        <v>102</v>
      </c>
    </row>
    <row r="196" spans="12:13" x14ac:dyDescent="0.3">
      <c r="L196" s="19" t="s">
        <v>377</v>
      </c>
      <c r="M196" s="24" t="s">
        <v>102</v>
      </c>
    </row>
    <row r="197" spans="12:13" x14ac:dyDescent="0.3">
      <c r="L197" s="18" t="s">
        <v>378</v>
      </c>
      <c r="M197" s="23" t="s">
        <v>102</v>
      </c>
    </row>
    <row r="198" spans="12:13" x14ac:dyDescent="0.3">
      <c r="L198" s="19" t="s">
        <v>379</v>
      </c>
      <c r="M198" s="24" t="s">
        <v>102</v>
      </c>
    </row>
    <row r="199" spans="12:13" x14ac:dyDescent="0.3">
      <c r="L199" s="18" t="s">
        <v>380</v>
      </c>
      <c r="M199" s="23" t="s">
        <v>102</v>
      </c>
    </row>
    <row r="200" spans="12:13" x14ac:dyDescent="0.3">
      <c r="L200" s="19" t="s">
        <v>381</v>
      </c>
      <c r="M200" s="24" t="s">
        <v>102</v>
      </c>
    </row>
    <row r="201" spans="12:13" x14ac:dyDescent="0.3">
      <c r="L201" s="18" t="s">
        <v>382</v>
      </c>
      <c r="M201" s="23" t="s">
        <v>102</v>
      </c>
    </row>
    <row r="202" spans="12:13" x14ac:dyDescent="0.3">
      <c r="L202" s="19" t="s">
        <v>383</v>
      </c>
      <c r="M202" s="24" t="s">
        <v>102</v>
      </c>
    </row>
    <row r="203" spans="12:13" x14ac:dyDescent="0.3">
      <c r="L203" s="18" t="s">
        <v>384</v>
      </c>
      <c r="M203" s="23" t="s">
        <v>102</v>
      </c>
    </row>
    <row r="204" spans="12:13" x14ac:dyDescent="0.3">
      <c r="L204" s="19" t="s">
        <v>385</v>
      </c>
      <c r="M204" s="24" t="s">
        <v>102</v>
      </c>
    </row>
    <row r="205" spans="12:13" x14ac:dyDescent="0.3">
      <c r="L205" s="18" t="s">
        <v>386</v>
      </c>
      <c r="M205" s="23" t="s">
        <v>102</v>
      </c>
    </row>
    <row r="206" spans="12:13" x14ac:dyDescent="0.3">
      <c r="L206" s="19" t="s">
        <v>387</v>
      </c>
      <c r="M206" s="24" t="s">
        <v>102</v>
      </c>
    </row>
    <row r="207" spans="12:13" x14ac:dyDescent="0.3">
      <c r="L207" s="18" t="s">
        <v>388</v>
      </c>
      <c r="M207" s="23" t="s">
        <v>102</v>
      </c>
    </row>
    <row r="208" spans="12:13" x14ac:dyDescent="0.3">
      <c r="L208" s="19" t="s">
        <v>389</v>
      </c>
      <c r="M208" s="24" t="s">
        <v>102</v>
      </c>
    </row>
    <row r="209" spans="12:13" x14ac:dyDescent="0.3">
      <c r="L209" s="18" t="s">
        <v>390</v>
      </c>
      <c r="M209" s="23" t="s">
        <v>102</v>
      </c>
    </row>
    <row r="210" spans="12:13" x14ac:dyDescent="0.3">
      <c r="L210" s="19" t="s">
        <v>391</v>
      </c>
      <c r="M210" s="24" t="s">
        <v>102</v>
      </c>
    </row>
    <row r="211" spans="12:13" x14ac:dyDescent="0.3">
      <c r="L211" s="18" t="s">
        <v>392</v>
      </c>
      <c r="M211" s="23" t="s">
        <v>102</v>
      </c>
    </row>
    <row r="212" spans="12:13" x14ac:dyDescent="0.3">
      <c r="L212" s="19" t="s">
        <v>393</v>
      </c>
      <c r="M212" s="24" t="s">
        <v>102</v>
      </c>
    </row>
    <row r="213" spans="12:13" x14ac:dyDescent="0.3">
      <c r="L213" s="18" t="s">
        <v>344</v>
      </c>
      <c r="M213" s="23" t="s">
        <v>102</v>
      </c>
    </row>
    <row r="214" spans="12:13" x14ac:dyDescent="0.3">
      <c r="L214" s="19" t="s">
        <v>394</v>
      </c>
      <c r="M214" s="24" t="s">
        <v>102</v>
      </c>
    </row>
    <row r="215" spans="12:13" x14ac:dyDescent="0.3">
      <c r="L215" s="18" t="s">
        <v>395</v>
      </c>
      <c r="M215" s="23" t="s">
        <v>102</v>
      </c>
    </row>
    <row r="216" spans="12:13" x14ac:dyDescent="0.3">
      <c r="L216" s="19" t="s">
        <v>396</v>
      </c>
      <c r="M216" s="24" t="s">
        <v>102</v>
      </c>
    </row>
    <row r="217" spans="12:13" x14ac:dyDescent="0.3">
      <c r="L217" s="18" t="s">
        <v>397</v>
      </c>
      <c r="M217" s="23" t="s">
        <v>102</v>
      </c>
    </row>
    <row r="218" spans="12:13" x14ac:dyDescent="0.3">
      <c r="L218" s="19" t="s">
        <v>398</v>
      </c>
      <c r="M218" s="24" t="s">
        <v>102</v>
      </c>
    </row>
    <row r="219" spans="12:13" x14ac:dyDescent="0.3">
      <c r="L219" s="18" t="s">
        <v>399</v>
      </c>
      <c r="M219" s="23" t="s">
        <v>102</v>
      </c>
    </row>
    <row r="220" spans="12:13" x14ac:dyDescent="0.3">
      <c r="L220" s="19" t="s">
        <v>400</v>
      </c>
      <c r="M220" s="24" t="s">
        <v>102</v>
      </c>
    </row>
    <row r="221" spans="12:13" x14ac:dyDescent="0.3">
      <c r="L221" s="18" t="s">
        <v>401</v>
      </c>
      <c r="M221" s="23" t="s">
        <v>102</v>
      </c>
    </row>
    <row r="222" spans="12:13" x14ac:dyDescent="0.3">
      <c r="L222" s="19" t="s">
        <v>402</v>
      </c>
      <c r="M222" s="24" t="s">
        <v>102</v>
      </c>
    </row>
    <row r="223" spans="12:13" x14ac:dyDescent="0.3">
      <c r="L223" s="18" t="s">
        <v>403</v>
      </c>
      <c r="M223" s="23" t="s">
        <v>102</v>
      </c>
    </row>
    <row r="224" spans="12:13" x14ac:dyDescent="0.3">
      <c r="L224" s="19" t="s">
        <v>404</v>
      </c>
      <c r="M224" s="24" t="s">
        <v>102</v>
      </c>
    </row>
    <row r="225" spans="12:13" x14ac:dyDescent="0.3">
      <c r="L225" s="18" t="s">
        <v>405</v>
      </c>
      <c r="M225" s="23" t="s">
        <v>102</v>
      </c>
    </row>
    <row r="226" spans="12:13" x14ac:dyDescent="0.3">
      <c r="L226" s="19" t="s">
        <v>406</v>
      </c>
      <c r="M226" s="24" t="s">
        <v>102</v>
      </c>
    </row>
    <row r="227" spans="12:13" x14ac:dyDescent="0.3">
      <c r="L227" s="18" t="s">
        <v>407</v>
      </c>
      <c r="M227" s="23" t="s">
        <v>102</v>
      </c>
    </row>
    <row r="228" spans="12:13" x14ac:dyDescent="0.3">
      <c r="L228" s="19" t="s">
        <v>306</v>
      </c>
      <c r="M228" s="24" t="s">
        <v>102</v>
      </c>
    </row>
    <row r="229" spans="12:13" x14ac:dyDescent="0.3">
      <c r="L229" s="18" t="s">
        <v>408</v>
      </c>
      <c r="M229" s="23" t="s">
        <v>102</v>
      </c>
    </row>
    <row r="230" spans="12:13" x14ac:dyDescent="0.3">
      <c r="L230" s="19" t="s">
        <v>409</v>
      </c>
      <c r="M230" s="24" t="s">
        <v>102</v>
      </c>
    </row>
    <row r="231" spans="12:13" x14ac:dyDescent="0.3">
      <c r="L231" s="18" t="s">
        <v>410</v>
      </c>
      <c r="M231" s="23" t="s">
        <v>102</v>
      </c>
    </row>
    <row r="232" spans="12:13" x14ac:dyDescent="0.3">
      <c r="L232" s="19" t="s">
        <v>411</v>
      </c>
      <c r="M232" s="24" t="s">
        <v>102</v>
      </c>
    </row>
    <row r="233" spans="12:13" x14ac:dyDescent="0.3">
      <c r="L233" s="18" t="s">
        <v>412</v>
      </c>
      <c r="M233" s="23" t="s">
        <v>102</v>
      </c>
    </row>
    <row r="234" spans="12:13" x14ac:dyDescent="0.3">
      <c r="L234" s="19" t="s">
        <v>413</v>
      </c>
      <c r="M234" s="24" t="s">
        <v>102</v>
      </c>
    </row>
    <row r="235" spans="12:13" x14ac:dyDescent="0.3">
      <c r="L235" s="18" t="s">
        <v>414</v>
      </c>
      <c r="M235" s="23" t="s">
        <v>102</v>
      </c>
    </row>
    <row r="236" spans="12:13" x14ac:dyDescent="0.3">
      <c r="L236" s="19" t="s">
        <v>415</v>
      </c>
      <c r="M236" s="24" t="s">
        <v>102</v>
      </c>
    </row>
    <row r="237" spans="12:13" x14ac:dyDescent="0.3">
      <c r="L237" s="18" t="s">
        <v>416</v>
      </c>
      <c r="M237" s="23" t="s">
        <v>102</v>
      </c>
    </row>
    <row r="238" spans="12:13" x14ac:dyDescent="0.3">
      <c r="L238" s="19" t="s">
        <v>417</v>
      </c>
      <c r="M238" s="24" t="s">
        <v>102</v>
      </c>
    </row>
    <row r="239" spans="12:13" x14ac:dyDescent="0.3">
      <c r="L239" s="18" t="s">
        <v>418</v>
      </c>
      <c r="M239" s="23" t="s">
        <v>102</v>
      </c>
    </row>
    <row r="240" spans="12:13" x14ac:dyDescent="0.3">
      <c r="L240" s="19" t="s">
        <v>419</v>
      </c>
      <c r="M240" s="24" t="s">
        <v>102</v>
      </c>
    </row>
    <row r="241" spans="12:13" x14ac:dyDescent="0.3">
      <c r="L241" s="18" t="s">
        <v>420</v>
      </c>
      <c r="M241" s="23" t="s">
        <v>102</v>
      </c>
    </row>
    <row r="242" spans="12:13" x14ac:dyDescent="0.3">
      <c r="L242" s="19" t="s">
        <v>421</v>
      </c>
      <c r="M242" s="24" t="s">
        <v>102</v>
      </c>
    </row>
    <row r="243" spans="12:13" x14ac:dyDescent="0.3">
      <c r="L243" s="18" t="s">
        <v>422</v>
      </c>
      <c r="M243" s="23" t="s">
        <v>101</v>
      </c>
    </row>
    <row r="244" spans="12:13" x14ac:dyDescent="0.3">
      <c r="L244" s="19" t="s">
        <v>423</v>
      </c>
      <c r="M244" s="24" t="s">
        <v>101</v>
      </c>
    </row>
    <row r="245" spans="12:13" x14ac:dyDescent="0.3">
      <c r="L245" s="18" t="s">
        <v>424</v>
      </c>
      <c r="M245" s="23" t="s">
        <v>101</v>
      </c>
    </row>
    <row r="246" spans="12:13" x14ac:dyDescent="0.3">
      <c r="L246" s="19" t="s">
        <v>425</v>
      </c>
      <c r="M246" s="24" t="s">
        <v>101</v>
      </c>
    </row>
    <row r="247" spans="12:13" x14ac:dyDescent="0.3">
      <c r="L247" s="18" t="s">
        <v>426</v>
      </c>
      <c r="M247" s="23" t="s">
        <v>101</v>
      </c>
    </row>
    <row r="248" spans="12:13" x14ac:dyDescent="0.3">
      <c r="L248" s="19" t="s">
        <v>427</v>
      </c>
      <c r="M248" s="24" t="s">
        <v>101</v>
      </c>
    </row>
    <row r="249" spans="12:13" x14ac:dyDescent="0.3">
      <c r="L249" s="18" t="s">
        <v>428</v>
      </c>
      <c r="M249" s="23" t="s">
        <v>101</v>
      </c>
    </row>
    <row r="250" spans="12:13" x14ac:dyDescent="0.3">
      <c r="L250" s="19" t="s">
        <v>429</v>
      </c>
      <c r="M250" s="24" t="s">
        <v>101</v>
      </c>
    </row>
    <row r="251" spans="12:13" x14ac:dyDescent="0.3">
      <c r="L251" s="18" t="s">
        <v>430</v>
      </c>
      <c r="M251" s="23" t="s">
        <v>101</v>
      </c>
    </row>
    <row r="252" spans="12:13" x14ac:dyDescent="0.3">
      <c r="L252" s="19" t="s">
        <v>431</v>
      </c>
      <c r="M252" s="24" t="s">
        <v>101</v>
      </c>
    </row>
    <row r="253" spans="12:13" x14ac:dyDescent="0.3">
      <c r="L253" s="18" t="s">
        <v>432</v>
      </c>
      <c r="M253" s="23" t="s">
        <v>101</v>
      </c>
    </row>
    <row r="254" spans="12:13" x14ac:dyDescent="0.3">
      <c r="L254" s="19" t="s">
        <v>433</v>
      </c>
      <c r="M254" s="24" t="s">
        <v>101</v>
      </c>
    </row>
    <row r="255" spans="12:13" x14ac:dyDescent="0.3">
      <c r="L255" s="18" t="s">
        <v>434</v>
      </c>
      <c r="M255" s="23" t="s">
        <v>101</v>
      </c>
    </row>
    <row r="256" spans="12:13" x14ac:dyDescent="0.3">
      <c r="L256" s="19" t="s">
        <v>435</v>
      </c>
      <c r="M256" s="24" t="s">
        <v>101</v>
      </c>
    </row>
    <row r="257" spans="12:13" x14ac:dyDescent="0.3">
      <c r="L257" s="18" t="s">
        <v>436</v>
      </c>
      <c r="M257" s="23" t="s">
        <v>101</v>
      </c>
    </row>
    <row r="258" spans="12:13" x14ac:dyDescent="0.3">
      <c r="L258" s="19" t="s">
        <v>437</v>
      </c>
      <c r="M258" s="24" t="s">
        <v>101</v>
      </c>
    </row>
    <row r="259" spans="12:13" x14ac:dyDescent="0.3">
      <c r="L259" s="18" t="s">
        <v>438</v>
      </c>
      <c r="M259" s="23" t="s">
        <v>101</v>
      </c>
    </row>
    <row r="260" spans="12:13" x14ac:dyDescent="0.3">
      <c r="L260" s="19" t="s">
        <v>439</v>
      </c>
      <c r="M260" s="24" t="s">
        <v>101</v>
      </c>
    </row>
    <row r="261" spans="12:13" x14ac:dyDescent="0.3">
      <c r="L261" s="18" t="s">
        <v>440</v>
      </c>
      <c r="M261" s="23" t="s">
        <v>101</v>
      </c>
    </row>
    <row r="262" spans="12:13" x14ac:dyDescent="0.3">
      <c r="L262" s="19" t="s">
        <v>441</v>
      </c>
      <c r="M262" s="24" t="s">
        <v>101</v>
      </c>
    </row>
    <row r="263" spans="12:13" x14ac:dyDescent="0.3">
      <c r="L263" s="18" t="s">
        <v>442</v>
      </c>
      <c r="M263" s="23" t="s">
        <v>101</v>
      </c>
    </row>
    <row r="264" spans="12:13" x14ac:dyDescent="0.3">
      <c r="L264" s="19" t="s">
        <v>443</v>
      </c>
      <c r="M264" s="24" t="s">
        <v>101</v>
      </c>
    </row>
    <row r="265" spans="12:13" x14ac:dyDescent="0.3">
      <c r="L265" s="18" t="s">
        <v>444</v>
      </c>
      <c r="M265" s="23" t="s">
        <v>101</v>
      </c>
    </row>
    <row r="266" spans="12:13" x14ac:dyDescent="0.3">
      <c r="L266" s="19" t="s">
        <v>445</v>
      </c>
      <c r="M266" s="24" t="s">
        <v>101</v>
      </c>
    </row>
    <row r="267" spans="12:13" x14ac:dyDescent="0.3">
      <c r="L267" s="18" t="s">
        <v>446</v>
      </c>
      <c r="M267" s="23" t="s">
        <v>101</v>
      </c>
    </row>
    <row r="268" spans="12:13" x14ac:dyDescent="0.3">
      <c r="L268" s="19" t="s">
        <v>447</v>
      </c>
      <c r="M268" s="24" t="s">
        <v>101</v>
      </c>
    </row>
    <row r="269" spans="12:13" x14ac:dyDescent="0.3">
      <c r="L269" s="18" t="s">
        <v>448</v>
      </c>
      <c r="M269" s="23" t="s">
        <v>101</v>
      </c>
    </row>
    <row r="270" spans="12:13" x14ac:dyDescent="0.3">
      <c r="L270" s="19" t="s">
        <v>449</v>
      </c>
      <c r="M270" s="24" t="s">
        <v>101</v>
      </c>
    </row>
    <row r="271" spans="12:13" x14ac:dyDescent="0.3">
      <c r="L271" s="18" t="s">
        <v>237</v>
      </c>
      <c r="M271" s="23" t="s">
        <v>101</v>
      </c>
    </row>
    <row r="272" spans="12:13" x14ac:dyDescent="0.3">
      <c r="L272" s="19" t="s">
        <v>238</v>
      </c>
      <c r="M272" s="24" t="s">
        <v>101</v>
      </c>
    </row>
    <row r="273" spans="12:13" x14ac:dyDescent="0.3">
      <c r="L273" s="18" t="s">
        <v>450</v>
      </c>
      <c r="M273" s="23" t="s">
        <v>101</v>
      </c>
    </row>
    <row r="274" spans="12:13" x14ac:dyDescent="0.3">
      <c r="L274" s="19" t="s">
        <v>451</v>
      </c>
      <c r="M274" s="24" t="s">
        <v>101</v>
      </c>
    </row>
    <row r="275" spans="12:13" x14ac:dyDescent="0.3">
      <c r="L275" s="18" t="s">
        <v>382</v>
      </c>
      <c r="M275" s="23" t="s">
        <v>101</v>
      </c>
    </row>
    <row r="276" spans="12:13" x14ac:dyDescent="0.3">
      <c r="L276" s="19" t="s">
        <v>452</v>
      </c>
      <c r="M276" s="24" t="s">
        <v>101</v>
      </c>
    </row>
    <row r="277" spans="12:13" x14ac:dyDescent="0.3">
      <c r="L277" s="18" t="s">
        <v>453</v>
      </c>
      <c r="M277" s="23" t="s">
        <v>101</v>
      </c>
    </row>
    <row r="278" spans="12:13" x14ac:dyDescent="0.3">
      <c r="L278" s="19" t="s">
        <v>454</v>
      </c>
      <c r="M278" s="24" t="s">
        <v>101</v>
      </c>
    </row>
    <row r="279" spans="12:13" x14ac:dyDescent="0.3">
      <c r="L279" s="18" t="s">
        <v>338</v>
      </c>
      <c r="M279" s="23" t="s">
        <v>101</v>
      </c>
    </row>
    <row r="280" spans="12:13" x14ac:dyDescent="0.3">
      <c r="L280" s="19" t="s">
        <v>340</v>
      </c>
      <c r="M280" s="24" t="s">
        <v>101</v>
      </c>
    </row>
    <row r="281" spans="12:13" x14ac:dyDescent="0.3">
      <c r="L281" s="18" t="s">
        <v>455</v>
      </c>
      <c r="M281" s="23" t="s">
        <v>101</v>
      </c>
    </row>
    <row r="282" spans="12:13" x14ac:dyDescent="0.3">
      <c r="L282" s="19" t="s">
        <v>456</v>
      </c>
      <c r="M282" s="24" t="s">
        <v>101</v>
      </c>
    </row>
    <row r="283" spans="12:13" x14ac:dyDescent="0.3">
      <c r="L283" s="18" t="s">
        <v>457</v>
      </c>
      <c r="M283" s="23" t="s">
        <v>101</v>
      </c>
    </row>
    <row r="284" spans="12:13" x14ac:dyDescent="0.3">
      <c r="L284" s="19" t="s">
        <v>458</v>
      </c>
      <c r="M284" s="24" t="s">
        <v>101</v>
      </c>
    </row>
    <row r="285" spans="12:13" x14ac:dyDescent="0.3">
      <c r="L285" s="18" t="s">
        <v>459</v>
      </c>
      <c r="M285" s="23" t="s">
        <v>101</v>
      </c>
    </row>
    <row r="286" spans="12:13" x14ac:dyDescent="0.3">
      <c r="L286" s="19" t="s">
        <v>253</v>
      </c>
      <c r="M286" s="24" t="s">
        <v>101</v>
      </c>
    </row>
    <row r="287" spans="12:13" x14ac:dyDescent="0.3">
      <c r="L287" s="18" t="s">
        <v>460</v>
      </c>
      <c r="M287" s="23" t="s">
        <v>101</v>
      </c>
    </row>
    <row r="288" spans="12:13" x14ac:dyDescent="0.3">
      <c r="L288" s="19" t="s">
        <v>461</v>
      </c>
      <c r="M288" s="24" t="s">
        <v>101</v>
      </c>
    </row>
    <row r="289" spans="12:13" x14ac:dyDescent="0.3">
      <c r="L289" s="18" t="s">
        <v>462</v>
      </c>
      <c r="M289" s="23" t="s">
        <v>101</v>
      </c>
    </row>
    <row r="290" spans="12:13" x14ac:dyDescent="0.3">
      <c r="L290" s="19" t="s">
        <v>347</v>
      </c>
      <c r="M290" s="24" t="s">
        <v>101</v>
      </c>
    </row>
    <row r="291" spans="12:13" x14ac:dyDescent="0.3">
      <c r="L291" s="18" t="s">
        <v>463</v>
      </c>
      <c r="M291" s="23" t="s">
        <v>101</v>
      </c>
    </row>
    <row r="292" spans="12:13" x14ac:dyDescent="0.3">
      <c r="L292" s="19" t="s">
        <v>464</v>
      </c>
      <c r="M292" s="24" t="s">
        <v>101</v>
      </c>
    </row>
    <row r="293" spans="12:13" x14ac:dyDescent="0.3">
      <c r="L293" s="18" t="s">
        <v>465</v>
      </c>
      <c r="M293" s="23" t="s">
        <v>101</v>
      </c>
    </row>
    <row r="294" spans="12:13" x14ac:dyDescent="0.3">
      <c r="L294" s="19" t="s">
        <v>466</v>
      </c>
      <c r="M294" s="24" t="s">
        <v>101</v>
      </c>
    </row>
    <row r="295" spans="12:13" x14ac:dyDescent="0.3">
      <c r="L295" s="18" t="s">
        <v>467</v>
      </c>
      <c r="M295" s="23" t="s">
        <v>101</v>
      </c>
    </row>
    <row r="296" spans="12:13" x14ac:dyDescent="0.3">
      <c r="L296" s="19" t="s">
        <v>468</v>
      </c>
      <c r="M296" s="24" t="s">
        <v>101</v>
      </c>
    </row>
    <row r="297" spans="12:13" x14ac:dyDescent="0.3">
      <c r="L297" s="18" t="s">
        <v>469</v>
      </c>
      <c r="M297" s="23" t="s">
        <v>101</v>
      </c>
    </row>
    <row r="298" spans="12:13" x14ac:dyDescent="0.3">
      <c r="L298" s="19" t="s">
        <v>470</v>
      </c>
      <c r="M298" s="24" t="s">
        <v>101</v>
      </c>
    </row>
    <row r="299" spans="12:13" x14ac:dyDescent="0.3">
      <c r="L299" s="18" t="s">
        <v>471</v>
      </c>
      <c r="M299" s="23" t="s">
        <v>101</v>
      </c>
    </row>
    <row r="300" spans="12:13" x14ac:dyDescent="0.3">
      <c r="L300" s="19" t="s">
        <v>472</v>
      </c>
      <c r="M300" s="24" t="s">
        <v>101</v>
      </c>
    </row>
    <row r="301" spans="12:13" x14ac:dyDescent="0.3">
      <c r="L301" s="18" t="s">
        <v>473</v>
      </c>
      <c r="M301" s="23" t="s">
        <v>101</v>
      </c>
    </row>
    <row r="302" spans="12:13" x14ac:dyDescent="0.3">
      <c r="L302" s="19" t="s">
        <v>474</v>
      </c>
      <c r="M302" s="24" t="s">
        <v>101</v>
      </c>
    </row>
    <row r="303" spans="12:13" x14ac:dyDescent="0.3">
      <c r="L303" s="18" t="s">
        <v>266</v>
      </c>
      <c r="M303" s="23" t="s">
        <v>101</v>
      </c>
    </row>
    <row r="304" spans="12:13" x14ac:dyDescent="0.3">
      <c r="L304" s="19" t="s">
        <v>475</v>
      </c>
      <c r="M304" s="24" t="s">
        <v>101</v>
      </c>
    </row>
    <row r="305" spans="12:13" x14ac:dyDescent="0.3">
      <c r="L305" s="18" t="s">
        <v>308</v>
      </c>
      <c r="M305" s="23" t="s">
        <v>101</v>
      </c>
    </row>
    <row r="306" spans="12:13" x14ac:dyDescent="0.3">
      <c r="L306" s="19" t="s">
        <v>476</v>
      </c>
      <c r="M306" s="24" t="s">
        <v>58</v>
      </c>
    </row>
    <row r="307" spans="12:13" x14ac:dyDescent="0.3">
      <c r="L307" s="18" t="s">
        <v>477</v>
      </c>
      <c r="M307" s="23" t="s">
        <v>58</v>
      </c>
    </row>
    <row r="308" spans="12:13" x14ac:dyDescent="0.3">
      <c r="L308" s="19" t="s">
        <v>478</v>
      </c>
      <c r="M308" s="24" t="s">
        <v>58</v>
      </c>
    </row>
    <row r="309" spans="12:13" x14ac:dyDescent="0.3">
      <c r="L309" s="18" t="s">
        <v>479</v>
      </c>
      <c r="M309" s="23" t="s">
        <v>58</v>
      </c>
    </row>
    <row r="310" spans="12:13" x14ac:dyDescent="0.3">
      <c r="L310" s="19" t="s">
        <v>480</v>
      </c>
      <c r="M310" s="24" t="s">
        <v>58</v>
      </c>
    </row>
    <row r="311" spans="12:13" x14ac:dyDescent="0.3">
      <c r="L311" s="18" t="s">
        <v>481</v>
      </c>
      <c r="M311" s="23" t="s">
        <v>58</v>
      </c>
    </row>
    <row r="312" spans="12:13" x14ac:dyDescent="0.3">
      <c r="L312" s="19" t="s">
        <v>482</v>
      </c>
      <c r="M312" s="24" t="s">
        <v>58</v>
      </c>
    </row>
    <row r="313" spans="12:13" x14ac:dyDescent="0.3">
      <c r="L313" s="18" t="s">
        <v>483</v>
      </c>
      <c r="M313" s="23" t="s">
        <v>58</v>
      </c>
    </row>
    <row r="314" spans="12:13" x14ac:dyDescent="0.3">
      <c r="L314" s="19" t="s">
        <v>484</v>
      </c>
      <c r="M314" s="24" t="s">
        <v>100</v>
      </c>
    </row>
    <row r="315" spans="12:13" x14ac:dyDescent="0.3">
      <c r="L315" s="18" t="s">
        <v>485</v>
      </c>
      <c r="M315" s="23" t="s">
        <v>100</v>
      </c>
    </row>
    <row r="316" spans="12:13" x14ac:dyDescent="0.3">
      <c r="L316" s="19" t="s">
        <v>486</v>
      </c>
      <c r="M316" s="24" t="s">
        <v>100</v>
      </c>
    </row>
    <row r="317" spans="12:13" x14ac:dyDescent="0.3">
      <c r="L317" s="18" t="s">
        <v>487</v>
      </c>
      <c r="M317" s="23" t="s">
        <v>488</v>
      </c>
    </row>
    <row r="318" spans="12:13" x14ac:dyDescent="0.3">
      <c r="L318" s="19" t="s">
        <v>489</v>
      </c>
      <c r="M318" s="24" t="s">
        <v>99</v>
      </c>
    </row>
    <row r="319" spans="12:13" x14ac:dyDescent="0.3">
      <c r="L319" s="18" t="s">
        <v>490</v>
      </c>
      <c r="M319" s="23" t="s">
        <v>99</v>
      </c>
    </row>
    <row r="320" spans="12:13" x14ac:dyDescent="0.3">
      <c r="L320" s="19" t="s">
        <v>491</v>
      </c>
      <c r="M320" s="24" t="s">
        <v>99</v>
      </c>
    </row>
    <row r="321" spans="12:13" x14ac:dyDescent="0.3">
      <c r="L321" s="18" t="s">
        <v>492</v>
      </c>
      <c r="M321" s="23" t="s">
        <v>99</v>
      </c>
    </row>
    <row r="322" spans="12:13" x14ac:dyDescent="0.3">
      <c r="L322" s="19" t="s">
        <v>493</v>
      </c>
      <c r="M322" s="24" t="s">
        <v>99</v>
      </c>
    </row>
    <row r="323" spans="12:13" x14ac:dyDescent="0.3">
      <c r="L323" s="18" t="s">
        <v>494</v>
      </c>
      <c r="M323" s="23" t="s">
        <v>99</v>
      </c>
    </row>
    <row r="324" spans="12:13" x14ac:dyDescent="0.3">
      <c r="L324" s="19" t="s">
        <v>209</v>
      </c>
      <c r="M324" s="24" t="s">
        <v>99</v>
      </c>
    </row>
    <row r="325" spans="12:13" x14ac:dyDescent="0.3">
      <c r="L325" s="18" t="s">
        <v>495</v>
      </c>
      <c r="M325" s="23" t="s">
        <v>99</v>
      </c>
    </row>
    <row r="326" spans="12:13" x14ac:dyDescent="0.3">
      <c r="L326" s="19" t="s">
        <v>496</v>
      </c>
      <c r="M326" s="24" t="s">
        <v>99</v>
      </c>
    </row>
    <row r="327" spans="12:13" x14ac:dyDescent="0.3">
      <c r="L327" s="18" t="s">
        <v>215</v>
      </c>
      <c r="M327" s="23" t="s">
        <v>99</v>
      </c>
    </row>
    <row r="328" spans="12:13" x14ac:dyDescent="0.3">
      <c r="L328" s="19" t="s">
        <v>497</v>
      </c>
      <c r="M328" s="24" t="s">
        <v>99</v>
      </c>
    </row>
    <row r="329" spans="12:13" x14ac:dyDescent="0.3">
      <c r="L329" s="18" t="s">
        <v>319</v>
      </c>
      <c r="M329" s="23" t="s">
        <v>99</v>
      </c>
    </row>
    <row r="330" spans="12:13" x14ac:dyDescent="0.3">
      <c r="L330" s="19" t="s">
        <v>498</v>
      </c>
      <c r="M330" s="24" t="s">
        <v>99</v>
      </c>
    </row>
    <row r="331" spans="12:13" x14ac:dyDescent="0.3">
      <c r="L331" s="18" t="s">
        <v>499</v>
      </c>
      <c r="M331" s="23" t="s">
        <v>99</v>
      </c>
    </row>
    <row r="332" spans="12:13" x14ac:dyDescent="0.3">
      <c r="L332" s="19" t="s">
        <v>500</v>
      </c>
      <c r="M332" s="24" t="s">
        <v>99</v>
      </c>
    </row>
    <row r="333" spans="12:13" x14ac:dyDescent="0.3">
      <c r="L333" s="18" t="s">
        <v>501</v>
      </c>
      <c r="M333" s="23" t="s">
        <v>99</v>
      </c>
    </row>
    <row r="334" spans="12:13" x14ac:dyDescent="0.3">
      <c r="L334" s="19" t="s">
        <v>228</v>
      </c>
      <c r="M334" s="24" t="s">
        <v>99</v>
      </c>
    </row>
    <row r="335" spans="12:13" x14ac:dyDescent="0.3">
      <c r="L335" s="18" t="s">
        <v>502</v>
      </c>
      <c r="M335" s="23" t="s">
        <v>99</v>
      </c>
    </row>
    <row r="336" spans="12:13" x14ac:dyDescent="0.3">
      <c r="L336" s="19" t="s">
        <v>231</v>
      </c>
      <c r="M336" s="24" t="s">
        <v>99</v>
      </c>
    </row>
    <row r="337" spans="12:13" x14ac:dyDescent="0.3">
      <c r="L337" s="18" t="s">
        <v>503</v>
      </c>
      <c r="M337" s="23" t="s">
        <v>99</v>
      </c>
    </row>
    <row r="338" spans="12:13" x14ac:dyDescent="0.3">
      <c r="L338" s="19" t="s">
        <v>504</v>
      </c>
      <c r="M338" s="24" t="s">
        <v>99</v>
      </c>
    </row>
    <row r="339" spans="12:13" x14ac:dyDescent="0.3">
      <c r="L339" s="18" t="s">
        <v>505</v>
      </c>
      <c r="M339" s="23" t="s">
        <v>99</v>
      </c>
    </row>
    <row r="340" spans="12:13" x14ac:dyDescent="0.3">
      <c r="L340" s="19" t="s">
        <v>506</v>
      </c>
      <c r="M340" s="24" t="s">
        <v>99</v>
      </c>
    </row>
    <row r="341" spans="12:13" x14ac:dyDescent="0.3">
      <c r="L341" s="18" t="s">
        <v>507</v>
      </c>
      <c r="M341" s="23" t="s">
        <v>99</v>
      </c>
    </row>
    <row r="342" spans="12:13" x14ac:dyDescent="0.3">
      <c r="L342" s="19" t="s">
        <v>508</v>
      </c>
      <c r="M342" s="24" t="s">
        <v>99</v>
      </c>
    </row>
    <row r="343" spans="12:13" x14ac:dyDescent="0.3">
      <c r="L343" s="18" t="s">
        <v>509</v>
      </c>
      <c r="M343" s="23" t="s">
        <v>99</v>
      </c>
    </row>
    <row r="344" spans="12:13" x14ac:dyDescent="0.3">
      <c r="L344" s="19" t="s">
        <v>510</v>
      </c>
      <c r="M344" s="24" t="s">
        <v>99</v>
      </c>
    </row>
    <row r="345" spans="12:13" x14ac:dyDescent="0.3">
      <c r="L345" s="18" t="s">
        <v>511</v>
      </c>
      <c r="M345" s="23" t="s">
        <v>99</v>
      </c>
    </row>
    <row r="346" spans="12:13" x14ac:dyDescent="0.3">
      <c r="L346" s="19" t="s">
        <v>512</v>
      </c>
      <c r="M346" s="24" t="s">
        <v>99</v>
      </c>
    </row>
    <row r="347" spans="12:13" x14ac:dyDescent="0.3">
      <c r="L347" s="18" t="s">
        <v>513</v>
      </c>
      <c r="M347" s="23" t="s">
        <v>99</v>
      </c>
    </row>
    <row r="348" spans="12:13" x14ac:dyDescent="0.3">
      <c r="L348" s="19" t="s">
        <v>514</v>
      </c>
      <c r="M348" s="24" t="s">
        <v>99</v>
      </c>
    </row>
    <row r="349" spans="12:13" x14ac:dyDescent="0.3">
      <c r="L349" s="18" t="s">
        <v>237</v>
      </c>
      <c r="M349" s="23" t="s">
        <v>99</v>
      </c>
    </row>
    <row r="350" spans="12:13" x14ac:dyDescent="0.3">
      <c r="L350" s="19" t="s">
        <v>238</v>
      </c>
      <c r="M350" s="24" t="s">
        <v>99</v>
      </c>
    </row>
    <row r="351" spans="12:13" x14ac:dyDescent="0.3">
      <c r="L351" s="18" t="s">
        <v>337</v>
      </c>
      <c r="M351" s="23" t="s">
        <v>99</v>
      </c>
    </row>
    <row r="352" spans="12:13" x14ac:dyDescent="0.3">
      <c r="L352" s="19" t="s">
        <v>382</v>
      </c>
      <c r="M352" s="24" t="s">
        <v>99</v>
      </c>
    </row>
    <row r="353" spans="12:13" x14ac:dyDescent="0.3">
      <c r="L353" s="18" t="s">
        <v>242</v>
      </c>
      <c r="M353" s="23" t="s">
        <v>99</v>
      </c>
    </row>
    <row r="354" spans="12:13" x14ac:dyDescent="0.3">
      <c r="L354" s="19" t="s">
        <v>515</v>
      </c>
      <c r="M354" s="24" t="s">
        <v>99</v>
      </c>
    </row>
    <row r="355" spans="12:13" x14ac:dyDescent="0.3">
      <c r="L355" s="18" t="s">
        <v>516</v>
      </c>
      <c r="M355" s="23" t="s">
        <v>99</v>
      </c>
    </row>
    <row r="356" spans="12:13" x14ac:dyDescent="0.3">
      <c r="L356" s="19" t="s">
        <v>517</v>
      </c>
      <c r="M356" s="24" t="s">
        <v>99</v>
      </c>
    </row>
    <row r="357" spans="12:13" x14ac:dyDescent="0.3">
      <c r="L357" s="18" t="s">
        <v>246</v>
      </c>
      <c r="M357" s="23" t="s">
        <v>99</v>
      </c>
    </row>
    <row r="358" spans="12:13" x14ac:dyDescent="0.3">
      <c r="L358" s="19" t="s">
        <v>518</v>
      </c>
      <c r="M358" s="24" t="s">
        <v>99</v>
      </c>
    </row>
    <row r="359" spans="12:13" x14ac:dyDescent="0.3">
      <c r="L359" s="18" t="s">
        <v>248</v>
      </c>
      <c r="M359" s="23" t="s">
        <v>99</v>
      </c>
    </row>
    <row r="360" spans="12:13" x14ac:dyDescent="0.3">
      <c r="L360" s="19" t="s">
        <v>519</v>
      </c>
      <c r="M360" s="24" t="s">
        <v>99</v>
      </c>
    </row>
    <row r="361" spans="12:13" x14ac:dyDescent="0.3">
      <c r="L361" s="18" t="s">
        <v>251</v>
      </c>
      <c r="M361" s="23" t="s">
        <v>99</v>
      </c>
    </row>
    <row r="362" spans="12:13" x14ac:dyDescent="0.3">
      <c r="L362" s="19" t="s">
        <v>520</v>
      </c>
      <c r="M362" s="24" t="s">
        <v>99</v>
      </c>
    </row>
    <row r="363" spans="12:13" x14ac:dyDescent="0.3">
      <c r="L363" s="18" t="s">
        <v>521</v>
      </c>
      <c r="M363" s="23" t="s">
        <v>99</v>
      </c>
    </row>
    <row r="364" spans="12:13" x14ac:dyDescent="0.3">
      <c r="L364" s="19" t="s">
        <v>522</v>
      </c>
      <c r="M364" s="24" t="s">
        <v>99</v>
      </c>
    </row>
    <row r="365" spans="12:13" x14ac:dyDescent="0.3">
      <c r="L365" s="18" t="s">
        <v>394</v>
      </c>
      <c r="M365" s="23" t="s">
        <v>99</v>
      </c>
    </row>
    <row r="366" spans="12:13" x14ac:dyDescent="0.3">
      <c r="L366" s="19" t="s">
        <v>523</v>
      </c>
      <c r="M366" s="24" t="s">
        <v>99</v>
      </c>
    </row>
    <row r="367" spans="12:13" x14ac:dyDescent="0.3">
      <c r="L367" s="18" t="s">
        <v>524</v>
      </c>
      <c r="M367" s="23" t="s">
        <v>99</v>
      </c>
    </row>
    <row r="368" spans="12:13" x14ac:dyDescent="0.3">
      <c r="L368" s="19" t="s">
        <v>525</v>
      </c>
      <c r="M368" s="24" t="s">
        <v>99</v>
      </c>
    </row>
    <row r="369" spans="12:13" x14ac:dyDescent="0.3">
      <c r="L369" s="18" t="s">
        <v>526</v>
      </c>
      <c r="M369" s="23" t="s">
        <v>99</v>
      </c>
    </row>
    <row r="370" spans="12:13" x14ac:dyDescent="0.3">
      <c r="L370" s="19" t="s">
        <v>349</v>
      </c>
      <c r="M370" s="24" t="s">
        <v>99</v>
      </c>
    </row>
    <row r="371" spans="12:13" x14ac:dyDescent="0.3">
      <c r="L371" s="18" t="s">
        <v>527</v>
      </c>
      <c r="M371" s="23" t="s">
        <v>99</v>
      </c>
    </row>
    <row r="372" spans="12:13" x14ac:dyDescent="0.3">
      <c r="L372" s="19" t="s">
        <v>528</v>
      </c>
      <c r="M372" s="24" t="s">
        <v>99</v>
      </c>
    </row>
    <row r="373" spans="12:13" x14ac:dyDescent="0.3">
      <c r="L373" s="18" t="s">
        <v>529</v>
      </c>
      <c r="M373" s="23" t="s">
        <v>99</v>
      </c>
    </row>
    <row r="374" spans="12:13" x14ac:dyDescent="0.3">
      <c r="L374" s="19" t="s">
        <v>530</v>
      </c>
      <c r="M374" s="24" t="s">
        <v>99</v>
      </c>
    </row>
    <row r="375" spans="12:13" x14ac:dyDescent="0.3">
      <c r="L375" s="18" t="s">
        <v>531</v>
      </c>
      <c r="M375" s="23" t="s">
        <v>99</v>
      </c>
    </row>
    <row r="376" spans="12:13" x14ac:dyDescent="0.3">
      <c r="L376" s="19" t="s">
        <v>532</v>
      </c>
      <c r="M376" s="24" t="s">
        <v>99</v>
      </c>
    </row>
    <row r="377" spans="12:13" x14ac:dyDescent="0.3">
      <c r="L377" s="18" t="s">
        <v>261</v>
      </c>
      <c r="M377" s="23" t="s">
        <v>99</v>
      </c>
    </row>
    <row r="378" spans="12:13" x14ac:dyDescent="0.3">
      <c r="L378" s="19" t="s">
        <v>533</v>
      </c>
      <c r="M378" s="24" t="s">
        <v>99</v>
      </c>
    </row>
    <row r="379" spans="12:13" x14ac:dyDescent="0.3">
      <c r="L379" s="18" t="s">
        <v>534</v>
      </c>
      <c r="M379" s="23" t="s">
        <v>99</v>
      </c>
    </row>
    <row r="380" spans="12:13" x14ac:dyDescent="0.3">
      <c r="L380" s="19" t="s">
        <v>361</v>
      </c>
      <c r="M380" s="24" t="s">
        <v>99</v>
      </c>
    </row>
    <row r="381" spans="12:13" x14ac:dyDescent="0.3">
      <c r="L381" s="18" t="s">
        <v>535</v>
      </c>
      <c r="M381" s="23" t="s">
        <v>99</v>
      </c>
    </row>
    <row r="382" spans="12:13" x14ac:dyDescent="0.3">
      <c r="L382" s="19" t="s">
        <v>536</v>
      </c>
      <c r="M382" s="24" t="s">
        <v>99</v>
      </c>
    </row>
    <row r="383" spans="12:13" x14ac:dyDescent="0.3">
      <c r="L383" s="18" t="s">
        <v>537</v>
      </c>
      <c r="M383" s="23" t="s">
        <v>99</v>
      </c>
    </row>
    <row r="384" spans="12:13" x14ac:dyDescent="0.3">
      <c r="L384" s="19" t="s">
        <v>266</v>
      </c>
      <c r="M384" s="24" t="s">
        <v>99</v>
      </c>
    </row>
    <row r="385" spans="12:13" x14ac:dyDescent="0.3">
      <c r="L385" s="18" t="s">
        <v>538</v>
      </c>
      <c r="M385" s="23" t="s">
        <v>98</v>
      </c>
    </row>
    <row r="386" spans="12:13" x14ac:dyDescent="0.3">
      <c r="L386" s="19" t="s">
        <v>539</v>
      </c>
      <c r="M386" s="24" t="s">
        <v>98</v>
      </c>
    </row>
    <row r="387" spans="12:13" x14ac:dyDescent="0.3">
      <c r="L387" s="18" t="s">
        <v>540</v>
      </c>
      <c r="M387" s="23" t="s">
        <v>98</v>
      </c>
    </row>
    <row r="388" spans="12:13" x14ac:dyDescent="0.3">
      <c r="L388" s="19" t="s">
        <v>490</v>
      </c>
      <c r="M388" s="24" t="s">
        <v>98</v>
      </c>
    </row>
    <row r="389" spans="12:13" x14ac:dyDescent="0.3">
      <c r="L389" s="18" t="s">
        <v>203</v>
      </c>
      <c r="M389" s="23" t="s">
        <v>98</v>
      </c>
    </row>
    <row r="390" spans="12:13" x14ac:dyDescent="0.3">
      <c r="L390" s="19" t="s">
        <v>541</v>
      </c>
      <c r="M390" s="24" t="s">
        <v>98</v>
      </c>
    </row>
    <row r="391" spans="12:13" x14ac:dyDescent="0.3">
      <c r="L391" s="18" t="s">
        <v>542</v>
      </c>
      <c r="M391" s="23" t="s">
        <v>98</v>
      </c>
    </row>
    <row r="392" spans="12:13" x14ac:dyDescent="0.3">
      <c r="L392" s="19" t="s">
        <v>543</v>
      </c>
      <c r="M392" s="24" t="s">
        <v>98</v>
      </c>
    </row>
    <row r="393" spans="12:13" x14ac:dyDescent="0.3">
      <c r="L393" s="18" t="s">
        <v>544</v>
      </c>
      <c r="M393" s="23" t="s">
        <v>98</v>
      </c>
    </row>
    <row r="394" spans="12:13" x14ac:dyDescent="0.3">
      <c r="L394" s="19" t="s">
        <v>545</v>
      </c>
      <c r="M394" s="24" t="s">
        <v>98</v>
      </c>
    </row>
    <row r="395" spans="12:13" x14ac:dyDescent="0.3">
      <c r="L395" s="18" t="s">
        <v>205</v>
      </c>
      <c r="M395" s="23" t="s">
        <v>98</v>
      </c>
    </row>
    <row r="396" spans="12:13" x14ac:dyDescent="0.3">
      <c r="L396" s="19" t="s">
        <v>546</v>
      </c>
      <c r="M396" s="24" t="s">
        <v>98</v>
      </c>
    </row>
    <row r="397" spans="12:13" x14ac:dyDescent="0.3">
      <c r="L397" s="18" t="s">
        <v>547</v>
      </c>
      <c r="M397" s="23" t="s">
        <v>98</v>
      </c>
    </row>
    <row r="398" spans="12:13" x14ac:dyDescent="0.3">
      <c r="L398" s="19" t="s">
        <v>548</v>
      </c>
      <c r="M398" s="24" t="s">
        <v>98</v>
      </c>
    </row>
    <row r="399" spans="12:13" x14ac:dyDescent="0.3">
      <c r="L399" s="18" t="s">
        <v>549</v>
      </c>
      <c r="M399" s="23" t="s">
        <v>98</v>
      </c>
    </row>
    <row r="400" spans="12:13" x14ac:dyDescent="0.3">
      <c r="L400" s="19" t="s">
        <v>550</v>
      </c>
      <c r="M400" s="24" t="s">
        <v>98</v>
      </c>
    </row>
    <row r="401" spans="12:13" x14ac:dyDescent="0.3">
      <c r="L401" s="18" t="s">
        <v>551</v>
      </c>
      <c r="M401" s="23" t="s">
        <v>98</v>
      </c>
    </row>
    <row r="402" spans="12:13" x14ac:dyDescent="0.3">
      <c r="L402" s="19" t="s">
        <v>552</v>
      </c>
      <c r="M402" s="24" t="s">
        <v>98</v>
      </c>
    </row>
    <row r="403" spans="12:13" x14ac:dyDescent="0.3">
      <c r="L403" s="18" t="s">
        <v>209</v>
      </c>
      <c r="M403" s="23" t="s">
        <v>98</v>
      </c>
    </row>
    <row r="404" spans="12:13" x14ac:dyDescent="0.3">
      <c r="L404" s="19" t="s">
        <v>553</v>
      </c>
      <c r="M404" s="24" t="s">
        <v>98</v>
      </c>
    </row>
    <row r="405" spans="12:13" x14ac:dyDescent="0.3">
      <c r="L405" s="18" t="s">
        <v>554</v>
      </c>
      <c r="M405" s="23" t="s">
        <v>98</v>
      </c>
    </row>
    <row r="406" spans="12:13" x14ac:dyDescent="0.3">
      <c r="L406" s="19" t="s">
        <v>315</v>
      </c>
      <c r="M406" s="24" t="s">
        <v>98</v>
      </c>
    </row>
    <row r="407" spans="12:13" x14ac:dyDescent="0.3">
      <c r="L407" s="18" t="s">
        <v>555</v>
      </c>
      <c r="M407" s="23" t="s">
        <v>98</v>
      </c>
    </row>
    <row r="408" spans="12:13" x14ac:dyDescent="0.3">
      <c r="L408" s="19" t="s">
        <v>556</v>
      </c>
      <c r="M408" s="24" t="s">
        <v>98</v>
      </c>
    </row>
    <row r="409" spans="12:13" x14ac:dyDescent="0.3">
      <c r="L409" s="18" t="s">
        <v>557</v>
      </c>
      <c r="M409" s="23" t="s">
        <v>98</v>
      </c>
    </row>
    <row r="410" spans="12:13" x14ac:dyDescent="0.3">
      <c r="L410" s="19" t="s">
        <v>558</v>
      </c>
      <c r="M410" s="24" t="s">
        <v>98</v>
      </c>
    </row>
    <row r="411" spans="12:13" x14ac:dyDescent="0.3">
      <c r="L411" s="18" t="s">
        <v>559</v>
      </c>
      <c r="M411" s="23" t="s">
        <v>98</v>
      </c>
    </row>
    <row r="412" spans="12:13" x14ac:dyDescent="0.3">
      <c r="L412" s="19" t="s">
        <v>211</v>
      </c>
      <c r="M412" s="24" t="s">
        <v>98</v>
      </c>
    </row>
    <row r="413" spans="12:13" x14ac:dyDescent="0.3">
      <c r="L413" s="18" t="s">
        <v>214</v>
      </c>
      <c r="M413" s="23" t="s">
        <v>98</v>
      </c>
    </row>
    <row r="414" spans="12:13" x14ac:dyDescent="0.3">
      <c r="L414" s="19" t="s">
        <v>215</v>
      </c>
      <c r="M414" s="24" t="s">
        <v>98</v>
      </c>
    </row>
    <row r="415" spans="12:13" x14ac:dyDescent="0.3">
      <c r="L415" s="18" t="s">
        <v>560</v>
      </c>
      <c r="M415" s="23" t="s">
        <v>98</v>
      </c>
    </row>
    <row r="416" spans="12:13" x14ac:dyDescent="0.3">
      <c r="L416" s="19" t="s">
        <v>561</v>
      </c>
      <c r="M416" s="24" t="s">
        <v>98</v>
      </c>
    </row>
    <row r="417" spans="12:13" x14ac:dyDescent="0.3">
      <c r="L417" s="18" t="s">
        <v>562</v>
      </c>
      <c r="M417" s="23" t="s">
        <v>98</v>
      </c>
    </row>
    <row r="418" spans="12:13" x14ac:dyDescent="0.3">
      <c r="L418" s="19" t="s">
        <v>217</v>
      </c>
      <c r="M418" s="24" t="s">
        <v>98</v>
      </c>
    </row>
    <row r="419" spans="12:13" x14ac:dyDescent="0.3">
      <c r="L419" s="18" t="s">
        <v>563</v>
      </c>
      <c r="M419" s="23" t="s">
        <v>98</v>
      </c>
    </row>
    <row r="420" spans="12:13" x14ac:dyDescent="0.3">
      <c r="L420" s="19" t="s">
        <v>319</v>
      </c>
      <c r="M420" s="24" t="s">
        <v>98</v>
      </c>
    </row>
    <row r="421" spans="12:13" x14ac:dyDescent="0.3">
      <c r="L421" s="18" t="s">
        <v>564</v>
      </c>
      <c r="M421" s="23" t="s">
        <v>98</v>
      </c>
    </row>
    <row r="422" spans="12:13" x14ac:dyDescent="0.3">
      <c r="L422" s="19" t="s">
        <v>565</v>
      </c>
      <c r="M422" s="24" t="s">
        <v>98</v>
      </c>
    </row>
    <row r="423" spans="12:13" x14ac:dyDescent="0.3">
      <c r="L423" s="18" t="s">
        <v>322</v>
      </c>
      <c r="M423" s="23" t="s">
        <v>98</v>
      </c>
    </row>
    <row r="424" spans="12:13" x14ac:dyDescent="0.3">
      <c r="L424" s="19" t="s">
        <v>566</v>
      </c>
      <c r="M424" s="24" t="s">
        <v>98</v>
      </c>
    </row>
    <row r="425" spans="12:13" x14ac:dyDescent="0.3">
      <c r="L425" s="18" t="s">
        <v>498</v>
      </c>
      <c r="M425" s="23" t="s">
        <v>98</v>
      </c>
    </row>
    <row r="426" spans="12:13" x14ac:dyDescent="0.3">
      <c r="L426" s="19" t="s">
        <v>567</v>
      </c>
      <c r="M426" s="24" t="s">
        <v>98</v>
      </c>
    </row>
    <row r="427" spans="12:13" x14ac:dyDescent="0.3">
      <c r="L427" s="18" t="s">
        <v>568</v>
      </c>
      <c r="M427" s="23" t="s">
        <v>98</v>
      </c>
    </row>
    <row r="428" spans="12:13" x14ac:dyDescent="0.3">
      <c r="L428" s="19" t="s">
        <v>569</v>
      </c>
      <c r="M428" s="24" t="s">
        <v>98</v>
      </c>
    </row>
    <row r="429" spans="12:13" x14ac:dyDescent="0.3">
      <c r="L429" s="18" t="s">
        <v>570</v>
      </c>
      <c r="M429" s="23" t="s">
        <v>98</v>
      </c>
    </row>
    <row r="430" spans="12:13" x14ac:dyDescent="0.3">
      <c r="L430" s="19" t="s">
        <v>571</v>
      </c>
      <c r="M430" s="24" t="s">
        <v>98</v>
      </c>
    </row>
    <row r="431" spans="12:13" x14ac:dyDescent="0.3">
      <c r="L431" s="18" t="s">
        <v>572</v>
      </c>
      <c r="M431" s="23" t="s">
        <v>98</v>
      </c>
    </row>
    <row r="432" spans="12:13" x14ac:dyDescent="0.3">
      <c r="L432" s="19" t="s">
        <v>439</v>
      </c>
      <c r="M432" s="24" t="s">
        <v>98</v>
      </c>
    </row>
    <row r="433" spans="12:13" x14ac:dyDescent="0.3">
      <c r="L433" s="18" t="s">
        <v>573</v>
      </c>
      <c r="M433" s="23" t="s">
        <v>98</v>
      </c>
    </row>
    <row r="434" spans="12:13" x14ac:dyDescent="0.3">
      <c r="L434" s="19" t="s">
        <v>574</v>
      </c>
      <c r="M434" s="24" t="s">
        <v>98</v>
      </c>
    </row>
    <row r="435" spans="12:13" x14ac:dyDescent="0.3">
      <c r="L435" s="18" t="s">
        <v>575</v>
      </c>
      <c r="M435" s="23" t="s">
        <v>98</v>
      </c>
    </row>
    <row r="436" spans="12:13" x14ac:dyDescent="0.3">
      <c r="L436" s="19" t="s">
        <v>441</v>
      </c>
      <c r="M436" s="24" t="s">
        <v>98</v>
      </c>
    </row>
    <row r="437" spans="12:13" x14ac:dyDescent="0.3">
      <c r="L437" s="18" t="s">
        <v>576</v>
      </c>
      <c r="M437" s="23" t="s">
        <v>98</v>
      </c>
    </row>
    <row r="438" spans="12:13" x14ac:dyDescent="0.3">
      <c r="L438" s="19" t="s">
        <v>577</v>
      </c>
      <c r="M438" s="24" t="s">
        <v>98</v>
      </c>
    </row>
    <row r="439" spans="12:13" x14ac:dyDescent="0.3">
      <c r="L439" s="18" t="s">
        <v>578</v>
      </c>
      <c r="M439" s="23" t="s">
        <v>98</v>
      </c>
    </row>
    <row r="440" spans="12:13" x14ac:dyDescent="0.3">
      <c r="L440" s="19" t="s">
        <v>230</v>
      </c>
      <c r="M440" s="24" t="s">
        <v>98</v>
      </c>
    </row>
    <row r="441" spans="12:13" x14ac:dyDescent="0.3">
      <c r="L441" s="18" t="s">
        <v>579</v>
      </c>
      <c r="M441" s="23" t="s">
        <v>98</v>
      </c>
    </row>
    <row r="442" spans="12:13" x14ac:dyDescent="0.3">
      <c r="L442" s="19" t="s">
        <v>580</v>
      </c>
      <c r="M442" s="24" t="s">
        <v>98</v>
      </c>
    </row>
    <row r="443" spans="12:13" x14ac:dyDescent="0.3">
      <c r="L443" s="18" t="s">
        <v>231</v>
      </c>
      <c r="M443" s="23" t="s">
        <v>98</v>
      </c>
    </row>
    <row r="444" spans="12:13" x14ac:dyDescent="0.3">
      <c r="L444" s="19" t="s">
        <v>328</v>
      </c>
      <c r="M444" s="24" t="s">
        <v>98</v>
      </c>
    </row>
    <row r="445" spans="12:13" x14ac:dyDescent="0.3">
      <c r="L445" s="18" t="s">
        <v>581</v>
      </c>
      <c r="M445" s="23" t="s">
        <v>98</v>
      </c>
    </row>
    <row r="446" spans="12:13" x14ac:dyDescent="0.3">
      <c r="L446" s="19" t="s">
        <v>582</v>
      </c>
      <c r="M446" s="24" t="s">
        <v>98</v>
      </c>
    </row>
    <row r="447" spans="12:13" x14ac:dyDescent="0.3">
      <c r="L447" s="18" t="s">
        <v>583</v>
      </c>
      <c r="M447" s="23" t="s">
        <v>98</v>
      </c>
    </row>
    <row r="448" spans="12:13" x14ac:dyDescent="0.3">
      <c r="L448" s="19" t="s">
        <v>584</v>
      </c>
      <c r="M448" s="24" t="s">
        <v>98</v>
      </c>
    </row>
    <row r="449" spans="12:13" x14ac:dyDescent="0.3">
      <c r="L449" s="18" t="s">
        <v>585</v>
      </c>
      <c r="M449" s="23" t="s">
        <v>98</v>
      </c>
    </row>
    <row r="450" spans="12:13" x14ac:dyDescent="0.3">
      <c r="L450" s="19" t="s">
        <v>233</v>
      </c>
      <c r="M450" s="24" t="s">
        <v>98</v>
      </c>
    </row>
    <row r="451" spans="12:13" x14ac:dyDescent="0.3">
      <c r="L451" s="18" t="s">
        <v>586</v>
      </c>
      <c r="M451" s="23" t="s">
        <v>98</v>
      </c>
    </row>
    <row r="452" spans="12:13" x14ac:dyDescent="0.3">
      <c r="L452" s="19" t="s">
        <v>587</v>
      </c>
      <c r="M452" s="24" t="s">
        <v>98</v>
      </c>
    </row>
    <row r="453" spans="12:13" x14ac:dyDescent="0.3">
      <c r="L453" s="18" t="s">
        <v>588</v>
      </c>
      <c r="M453" s="23" t="s">
        <v>98</v>
      </c>
    </row>
    <row r="454" spans="12:13" x14ac:dyDescent="0.3">
      <c r="L454" s="19" t="s">
        <v>589</v>
      </c>
      <c r="M454" s="24" t="s">
        <v>98</v>
      </c>
    </row>
    <row r="455" spans="12:13" x14ac:dyDescent="0.3">
      <c r="L455" s="18" t="s">
        <v>590</v>
      </c>
      <c r="M455" s="23" t="s">
        <v>98</v>
      </c>
    </row>
    <row r="456" spans="12:13" x14ac:dyDescent="0.3">
      <c r="L456" s="19" t="s">
        <v>591</v>
      </c>
      <c r="M456" s="24" t="s">
        <v>98</v>
      </c>
    </row>
    <row r="457" spans="12:13" x14ac:dyDescent="0.3">
      <c r="L457" s="18" t="s">
        <v>592</v>
      </c>
      <c r="M457" s="23" t="s">
        <v>98</v>
      </c>
    </row>
    <row r="458" spans="12:13" x14ac:dyDescent="0.3">
      <c r="L458" s="19" t="s">
        <v>593</v>
      </c>
      <c r="M458" s="24" t="s">
        <v>98</v>
      </c>
    </row>
    <row r="459" spans="12:13" x14ac:dyDescent="0.3">
      <c r="L459" s="18" t="s">
        <v>235</v>
      </c>
      <c r="M459" s="23" t="s">
        <v>98</v>
      </c>
    </row>
    <row r="460" spans="12:13" x14ac:dyDescent="0.3">
      <c r="L460" s="19" t="s">
        <v>236</v>
      </c>
      <c r="M460" s="24" t="s">
        <v>98</v>
      </c>
    </row>
    <row r="461" spans="12:13" x14ac:dyDescent="0.3">
      <c r="L461" s="18" t="s">
        <v>594</v>
      </c>
      <c r="M461" s="23" t="s">
        <v>98</v>
      </c>
    </row>
    <row r="462" spans="12:13" x14ac:dyDescent="0.3">
      <c r="L462" s="19" t="s">
        <v>237</v>
      </c>
      <c r="M462" s="24" t="s">
        <v>98</v>
      </c>
    </row>
    <row r="463" spans="12:13" x14ac:dyDescent="0.3">
      <c r="L463" s="18" t="s">
        <v>595</v>
      </c>
      <c r="M463" s="23" t="s">
        <v>98</v>
      </c>
    </row>
    <row r="464" spans="12:13" x14ac:dyDescent="0.3">
      <c r="L464" s="19" t="s">
        <v>596</v>
      </c>
      <c r="M464" s="24" t="s">
        <v>98</v>
      </c>
    </row>
    <row r="465" spans="12:13" x14ac:dyDescent="0.3">
      <c r="L465" s="18" t="s">
        <v>238</v>
      </c>
      <c r="M465" s="23" t="s">
        <v>98</v>
      </c>
    </row>
    <row r="466" spans="12:13" x14ac:dyDescent="0.3">
      <c r="L466" s="19" t="s">
        <v>597</v>
      </c>
      <c r="M466" s="24" t="s">
        <v>98</v>
      </c>
    </row>
    <row r="467" spans="12:13" x14ac:dyDescent="0.3">
      <c r="L467" s="18" t="s">
        <v>336</v>
      </c>
      <c r="M467" s="23" t="s">
        <v>98</v>
      </c>
    </row>
    <row r="468" spans="12:13" x14ac:dyDescent="0.3">
      <c r="L468" s="19" t="s">
        <v>598</v>
      </c>
      <c r="M468" s="24" t="s">
        <v>98</v>
      </c>
    </row>
    <row r="469" spans="12:13" x14ac:dyDescent="0.3">
      <c r="L469" s="18" t="s">
        <v>239</v>
      </c>
      <c r="M469" s="23" t="s">
        <v>98</v>
      </c>
    </row>
    <row r="470" spans="12:13" x14ac:dyDescent="0.3">
      <c r="L470" s="19" t="s">
        <v>599</v>
      </c>
      <c r="M470" s="24" t="s">
        <v>98</v>
      </c>
    </row>
    <row r="471" spans="12:13" x14ac:dyDescent="0.3">
      <c r="L471" s="18" t="s">
        <v>600</v>
      </c>
      <c r="M471" s="23" t="s">
        <v>98</v>
      </c>
    </row>
    <row r="472" spans="12:13" x14ac:dyDescent="0.3">
      <c r="L472" s="19" t="s">
        <v>242</v>
      </c>
      <c r="M472" s="24" t="s">
        <v>98</v>
      </c>
    </row>
    <row r="473" spans="12:13" x14ac:dyDescent="0.3">
      <c r="L473" s="18" t="s">
        <v>517</v>
      </c>
      <c r="M473" s="23" t="s">
        <v>98</v>
      </c>
    </row>
    <row r="474" spans="12:13" x14ac:dyDescent="0.3">
      <c r="L474" s="19" t="s">
        <v>338</v>
      </c>
      <c r="M474" s="24" t="s">
        <v>98</v>
      </c>
    </row>
    <row r="475" spans="12:13" x14ac:dyDescent="0.3">
      <c r="L475" s="18" t="s">
        <v>601</v>
      </c>
      <c r="M475" s="23" t="s">
        <v>98</v>
      </c>
    </row>
    <row r="476" spans="12:13" x14ac:dyDescent="0.3">
      <c r="L476" s="19" t="s">
        <v>244</v>
      </c>
      <c r="M476" s="24" t="s">
        <v>98</v>
      </c>
    </row>
    <row r="477" spans="12:13" x14ac:dyDescent="0.3">
      <c r="L477" s="18" t="s">
        <v>602</v>
      </c>
      <c r="M477" s="23" t="s">
        <v>98</v>
      </c>
    </row>
    <row r="478" spans="12:13" x14ac:dyDescent="0.3">
      <c r="L478" s="19" t="s">
        <v>603</v>
      </c>
      <c r="M478" s="24" t="s">
        <v>98</v>
      </c>
    </row>
    <row r="479" spans="12:13" x14ac:dyDescent="0.3">
      <c r="L479" s="18" t="s">
        <v>604</v>
      </c>
      <c r="M479" s="23" t="s">
        <v>98</v>
      </c>
    </row>
    <row r="480" spans="12:13" x14ac:dyDescent="0.3">
      <c r="L480" s="19" t="s">
        <v>245</v>
      </c>
      <c r="M480" s="24" t="s">
        <v>98</v>
      </c>
    </row>
    <row r="481" spans="12:13" x14ac:dyDescent="0.3">
      <c r="L481" s="18" t="s">
        <v>246</v>
      </c>
      <c r="M481" s="23" t="s">
        <v>98</v>
      </c>
    </row>
    <row r="482" spans="12:13" x14ac:dyDescent="0.3">
      <c r="L482" s="19" t="s">
        <v>248</v>
      </c>
      <c r="M482" s="24" t="s">
        <v>98</v>
      </c>
    </row>
    <row r="483" spans="12:13" x14ac:dyDescent="0.3">
      <c r="L483" s="18" t="s">
        <v>605</v>
      </c>
      <c r="M483" s="23" t="s">
        <v>98</v>
      </c>
    </row>
    <row r="484" spans="12:13" x14ac:dyDescent="0.3">
      <c r="L484" s="19" t="s">
        <v>342</v>
      </c>
      <c r="M484" s="24" t="s">
        <v>98</v>
      </c>
    </row>
    <row r="485" spans="12:13" x14ac:dyDescent="0.3">
      <c r="L485" s="18" t="s">
        <v>606</v>
      </c>
      <c r="M485" s="23" t="s">
        <v>98</v>
      </c>
    </row>
    <row r="486" spans="12:13" x14ac:dyDescent="0.3">
      <c r="L486" s="19" t="s">
        <v>251</v>
      </c>
      <c r="M486" s="24" t="s">
        <v>98</v>
      </c>
    </row>
    <row r="487" spans="12:13" x14ac:dyDescent="0.3">
      <c r="L487" s="18" t="s">
        <v>252</v>
      </c>
      <c r="M487" s="23" t="s">
        <v>98</v>
      </c>
    </row>
    <row r="488" spans="12:13" x14ac:dyDescent="0.3">
      <c r="L488" s="19" t="s">
        <v>253</v>
      </c>
      <c r="M488" s="24" t="s">
        <v>98</v>
      </c>
    </row>
    <row r="489" spans="12:13" x14ac:dyDescent="0.3">
      <c r="L489" s="18" t="s">
        <v>607</v>
      </c>
      <c r="M489" s="23" t="s">
        <v>98</v>
      </c>
    </row>
    <row r="490" spans="12:13" x14ac:dyDescent="0.3">
      <c r="L490" s="19" t="s">
        <v>608</v>
      </c>
      <c r="M490" s="24" t="s">
        <v>98</v>
      </c>
    </row>
    <row r="491" spans="12:13" x14ac:dyDescent="0.3">
      <c r="L491" s="18" t="s">
        <v>345</v>
      </c>
      <c r="M491" s="23" t="s">
        <v>98</v>
      </c>
    </row>
    <row r="492" spans="12:13" x14ac:dyDescent="0.3">
      <c r="L492" s="19" t="s">
        <v>609</v>
      </c>
      <c r="M492" s="24" t="s">
        <v>98</v>
      </c>
    </row>
    <row r="493" spans="12:13" x14ac:dyDescent="0.3">
      <c r="L493" s="18" t="s">
        <v>610</v>
      </c>
      <c r="M493" s="23" t="s">
        <v>98</v>
      </c>
    </row>
    <row r="494" spans="12:13" x14ac:dyDescent="0.3">
      <c r="L494" s="19" t="s">
        <v>611</v>
      </c>
      <c r="M494" s="24" t="s">
        <v>98</v>
      </c>
    </row>
    <row r="495" spans="12:13" x14ac:dyDescent="0.3">
      <c r="L495" s="18" t="s">
        <v>612</v>
      </c>
      <c r="M495" s="23" t="s">
        <v>98</v>
      </c>
    </row>
    <row r="496" spans="12:13" x14ac:dyDescent="0.3">
      <c r="L496" s="19" t="s">
        <v>255</v>
      </c>
      <c r="M496" s="24" t="s">
        <v>98</v>
      </c>
    </row>
    <row r="497" spans="12:13" x14ac:dyDescent="0.3">
      <c r="L497" s="18" t="s">
        <v>613</v>
      </c>
      <c r="M497" s="23" t="s">
        <v>98</v>
      </c>
    </row>
    <row r="498" spans="12:13" x14ac:dyDescent="0.3">
      <c r="L498" s="19" t="s">
        <v>256</v>
      </c>
      <c r="M498" s="24" t="s">
        <v>98</v>
      </c>
    </row>
    <row r="499" spans="12:13" x14ac:dyDescent="0.3">
      <c r="L499" s="18" t="s">
        <v>349</v>
      </c>
      <c r="M499" s="23" t="s">
        <v>98</v>
      </c>
    </row>
    <row r="500" spans="12:13" x14ac:dyDescent="0.3">
      <c r="L500" s="19" t="s">
        <v>352</v>
      </c>
      <c r="M500" s="24" t="s">
        <v>98</v>
      </c>
    </row>
    <row r="501" spans="12:13" x14ac:dyDescent="0.3">
      <c r="L501" s="18" t="s">
        <v>527</v>
      </c>
      <c r="M501" s="23" t="s">
        <v>98</v>
      </c>
    </row>
    <row r="502" spans="12:13" x14ac:dyDescent="0.3">
      <c r="L502" s="19" t="s">
        <v>614</v>
      </c>
      <c r="M502" s="24" t="s">
        <v>98</v>
      </c>
    </row>
    <row r="503" spans="12:13" x14ac:dyDescent="0.3">
      <c r="L503" s="18" t="s">
        <v>615</v>
      </c>
      <c r="M503" s="23" t="s">
        <v>98</v>
      </c>
    </row>
    <row r="504" spans="12:13" x14ac:dyDescent="0.3">
      <c r="L504" s="19" t="s">
        <v>257</v>
      </c>
      <c r="M504" s="24" t="s">
        <v>98</v>
      </c>
    </row>
    <row r="505" spans="12:13" x14ac:dyDescent="0.3">
      <c r="L505" s="18" t="s">
        <v>616</v>
      </c>
      <c r="M505" s="23" t="s">
        <v>98</v>
      </c>
    </row>
    <row r="506" spans="12:13" x14ac:dyDescent="0.3">
      <c r="L506" s="19" t="s">
        <v>617</v>
      </c>
      <c r="M506" s="24" t="s">
        <v>98</v>
      </c>
    </row>
    <row r="507" spans="12:13" x14ac:dyDescent="0.3">
      <c r="L507" s="18" t="s">
        <v>618</v>
      </c>
      <c r="M507" s="23" t="s">
        <v>98</v>
      </c>
    </row>
    <row r="508" spans="12:13" x14ac:dyDescent="0.3">
      <c r="L508" s="19" t="s">
        <v>619</v>
      </c>
      <c r="M508" s="24" t="s">
        <v>98</v>
      </c>
    </row>
    <row r="509" spans="12:13" x14ac:dyDescent="0.3">
      <c r="L509" s="18" t="s">
        <v>532</v>
      </c>
      <c r="M509" s="23" t="s">
        <v>98</v>
      </c>
    </row>
    <row r="510" spans="12:13" x14ac:dyDescent="0.3">
      <c r="L510" s="19" t="s">
        <v>620</v>
      </c>
      <c r="M510" s="24" t="s">
        <v>98</v>
      </c>
    </row>
    <row r="511" spans="12:13" x14ac:dyDescent="0.3">
      <c r="L511" s="18" t="s">
        <v>621</v>
      </c>
      <c r="M511" s="23" t="s">
        <v>98</v>
      </c>
    </row>
    <row r="512" spans="12:13" x14ac:dyDescent="0.3">
      <c r="L512" s="19" t="s">
        <v>622</v>
      </c>
      <c r="M512" s="24" t="s">
        <v>98</v>
      </c>
    </row>
    <row r="513" spans="12:13" x14ac:dyDescent="0.3">
      <c r="L513" s="18" t="s">
        <v>261</v>
      </c>
      <c r="M513" s="23" t="s">
        <v>98</v>
      </c>
    </row>
    <row r="514" spans="12:13" x14ac:dyDescent="0.3">
      <c r="L514" s="19" t="s">
        <v>623</v>
      </c>
      <c r="M514" s="24" t="s">
        <v>98</v>
      </c>
    </row>
    <row r="515" spans="12:13" x14ac:dyDescent="0.3">
      <c r="L515" s="18" t="s">
        <v>624</v>
      </c>
      <c r="M515" s="23" t="s">
        <v>98</v>
      </c>
    </row>
    <row r="516" spans="12:13" x14ac:dyDescent="0.3">
      <c r="L516" s="19" t="s">
        <v>625</v>
      </c>
      <c r="M516" s="24" t="s">
        <v>98</v>
      </c>
    </row>
    <row r="517" spans="12:13" x14ac:dyDescent="0.3">
      <c r="L517" s="18" t="s">
        <v>534</v>
      </c>
      <c r="M517" s="23" t="s">
        <v>98</v>
      </c>
    </row>
    <row r="518" spans="12:13" x14ac:dyDescent="0.3">
      <c r="L518" s="19" t="s">
        <v>626</v>
      </c>
      <c r="M518" s="24" t="s">
        <v>98</v>
      </c>
    </row>
    <row r="519" spans="12:13" x14ac:dyDescent="0.3">
      <c r="L519" s="18" t="s">
        <v>627</v>
      </c>
      <c r="M519" s="23" t="s">
        <v>98</v>
      </c>
    </row>
    <row r="520" spans="12:13" x14ac:dyDescent="0.3">
      <c r="L520" s="19" t="s">
        <v>628</v>
      </c>
      <c r="M520" s="24" t="s">
        <v>98</v>
      </c>
    </row>
    <row r="521" spans="12:13" x14ac:dyDescent="0.3">
      <c r="L521" s="18" t="s">
        <v>629</v>
      </c>
      <c r="M521" s="23" t="s">
        <v>98</v>
      </c>
    </row>
    <row r="522" spans="12:13" x14ac:dyDescent="0.3">
      <c r="L522" s="19" t="s">
        <v>630</v>
      </c>
      <c r="M522" s="24" t="s">
        <v>98</v>
      </c>
    </row>
    <row r="523" spans="12:13" x14ac:dyDescent="0.3">
      <c r="L523" s="18" t="s">
        <v>631</v>
      </c>
      <c r="M523" s="23" t="s">
        <v>98</v>
      </c>
    </row>
    <row r="524" spans="12:13" x14ac:dyDescent="0.3">
      <c r="L524" s="19" t="s">
        <v>632</v>
      </c>
      <c r="M524" s="24" t="s">
        <v>98</v>
      </c>
    </row>
    <row r="525" spans="12:13" x14ac:dyDescent="0.3">
      <c r="L525" s="18" t="s">
        <v>633</v>
      </c>
      <c r="M525" s="23" t="s">
        <v>98</v>
      </c>
    </row>
    <row r="526" spans="12:13" x14ac:dyDescent="0.3">
      <c r="L526" s="19" t="s">
        <v>634</v>
      </c>
      <c r="M526" s="24" t="s">
        <v>98</v>
      </c>
    </row>
    <row r="527" spans="12:13" x14ac:dyDescent="0.3">
      <c r="L527" s="18" t="s">
        <v>635</v>
      </c>
      <c r="M527" s="23" t="s">
        <v>98</v>
      </c>
    </row>
    <row r="528" spans="12:13" x14ac:dyDescent="0.3">
      <c r="L528" s="19" t="s">
        <v>361</v>
      </c>
      <c r="M528" s="24" t="s">
        <v>98</v>
      </c>
    </row>
    <row r="529" spans="12:13" x14ac:dyDescent="0.3">
      <c r="L529" s="18" t="s">
        <v>636</v>
      </c>
      <c r="M529" s="23" t="s">
        <v>98</v>
      </c>
    </row>
    <row r="530" spans="12:13" x14ac:dyDescent="0.3">
      <c r="L530" s="19" t="s">
        <v>265</v>
      </c>
      <c r="M530" s="24" t="s">
        <v>98</v>
      </c>
    </row>
    <row r="531" spans="12:13" x14ac:dyDescent="0.3">
      <c r="L531" s="18" t="s">
        <v>537</v>
      </c>
      <c r="M531" s="23" t="s">
        <v>98</v>
      </c>
    </row>
    <row r="532" spans="12:13" x14ac:dyDescent="0.3">
      <c r="L532" s="19" t="s">
        <v>637</v>
      </c>
      <c r="M532" s="24" t="s">
        <v>98</v>
      </c>
    </row>
    <row r="533" spans="12:13" x14ac:dyDescent="0.3">
      <c r="L533" s="18" t="s">
        <v>638</v>
      </c>
      <c r="M533" s="23" t="s">
        <v>98</v>
      </c>
    </row>
    <row r="534" spans="12:13" x14ac:dyDescent="0.3">
      <c r="L534" s="19" t="s">
        <v>266</v>
      </c>
      <c r="M534" s="24" t="s">
        <v>98</v>
      </c>
    </row>
    <row r="535" spans="12:13" x14ac:dyDescent="0.3">
      <c r="L535" s="18" t="s">
        <v>639</v>
      </c>
      <c r="M535" s="23" t="s">
        <v>98</v>
      </c>
    </row>
    <row r="536" spans="12:13" x14ac:dyDescent="0.3">
      <c r="L536" s="19" t="s">
        <v>640</v>
      </c>
      <c r="M536" s="24" t="s">
        <v>98</v>
      </c>
    </row>
    <row r="537" spans="12:13" x14ac:dyDescent="0.3">
      <c r="L537" s="18" t="s">
        <v>641</v>
      </c>
      <c r="M537" s="23" t="s">
        <v>98</v>
      </c>
    </row>
    <row r="538" spans="12:13" x14ac:dyDescent="0.3">
      <c r="L538" s="19" t="s">
        <v>363</v>
      </c>
      <c r="M538" s="24" t="s">
        <v>98</v>
      </c>
    </row>
    <row r="539" spans="12:13" x14ac:dyDescent="0.3">
      <c r="L539" s="18" t="s">
        <v>642</v>
      </c>
      <c r="M539" s="23" t="s">
        <v>98</v>
      </c>
    </row>
    <row r="540" spans="12:13" x14ac:dyDescent="0.3">
      <c r="L540" s="19" t="s">
        <v>267</v>
      </c>
      <c r="M540" s="24" t="s">
        <v>98</v>
      </c>
    </row>
    <row r="541" spans="12:13" x14ac:dyDescent="0.3">
      <c r="L541" s="18" t="s">
        <v>643</v>
      </c>
      <c r="M541" s="23" t="s">
        <v>98</v>
      </c>
    </row>
    <row r="542" spans="12:13" x14ac:dyDescent="0.3">
      <c r="L542" s="19" t="s">
        <v>644</v>
      </c>
      <c r="M542" s="24" t="s">
        <v>98</v>
      </c>
    </row>
    <row r="543" spans="12:13" x14ac:dyDescent="0.3">
      <c r="L543" s="18" t="s">
        <v>645</v>
      </c>
      <c r="M543" s="23" t="s">
        <v>98</v>
      </c>
    </row>
    <row r="544" spans="12:13" x14ac:dyDescent="0.3">
      <c r="L544" s="18" t="s">
        <v>2181</v>
      </c>
      <c r="M544" s="23" t="s">
        <v>2180</v>
      </c>
    </row>
    <row r="545" spans="12:13" x14ac:dyDescent="0.3">
      <c r="L545" s="19" t="s">
        <v>646</v>
      </c>
      <c r="M545" s="24" t="s">
        <v>97</v>
      </c>
    </row>
    <row r="546" spans="12:13" x14ac:dyDescent="0.3">
      <c r="L546" s="18" t="s">
        <v>647</v>
      </c>
      <c r="M546" s="23" t="s">
        <v>97</v>
      </c>
    </row>
    <row r="547" spans="12:13" x14ac:dyDescent="0.3">
      <c r="L547" s="19" t="s">
        <v>648</v>
      </c>
      <c r="M547" s="24" t="s">
        <v>97</v>
      </c>
    </row>
    <row r="548" spans="12:13" x14ac:dyDescent="0.3">
      <c r="L548" s="18" t="s">
        <v>649</v>
      </c>
      <c r="M548" s="23" t="s">
        <v>97</v>
      </c>
    </row>
    <row r="549" spans="12:13" x14ac:dyDescent="0.3">
      <c r="L549" s="19" t="s">
        <v>650</v>
      </c>
      <c r="M549" s="24" t="s">
        <v>97</v>
      </c>
    </row>
    <row r="550" spans="12:13" x14ac:dyDescent="0.3">
      <c r="L550" s="18" t="s">
        <v>651</v>
      </c>
      <c r="M550" s="23" t="s">
        <v>96</v>
      </c>
    </row>
    <row r="551" spans="12:13" x14ac:dyDescent="0.3">
      <c r="L551" s="19" t="s">
        <v>422</v>
      </c>
      <c r="M551" s="24" t="s">
        <v>96</v>
      </c>
    </row>
    <row r="552" spans="12:13" x14ac:dyDescent="0.3">
      <c r="L552" s="18" t="s">
        <v>652</v>
      </c>
      <c r="M552" s="23" t="s">
        <v>96</v>
      </c>
    </row>
    <row r="553" spans="12:13" x14ac:dyDescent="0.3">
      <c r="L553" s="19" t="s">
        <v>653</v>
      </c>
      <c r="M553" s="24" t="s">
        <v>96</v>
      </c>
    </row>
    <row r="554" spans="12:13" x14ac:dyDescent="0.3">
      <c r="L554" s="18" t="s">
        <v>654</v>
      </c>
      <c r="M554" s="23" t="s">
        <v>96</v>
      </c>
    </row>
    <row r="555" spans="12:13" x14ac:dyDescent="0.3">
      <c r="L555" s="19" t="s">
        <v>655</v>
      </c>
      <c r="M555" s="24" t="s">
        <v>96</v>
      </c>
    </row>
    <row r="556" spans="12:13" x14ac:dyDescent="0.3">
      <c r="L556" s="18" t="s">
        <v>656</v>
      </c>
      <c r="M556" s="23" t="s">
        <v>96</v>
      </c>
    </row>
    <row r="557" spans="12:13" x14ac:dyDescent="0.3">
      <c r="L557" s="19" t="s">
        <v>657</v>
      </c>
      <c r="M557" s="24" t="s">
        <v>96</v>
      </c>
    </row>
    <row r="558" spans="12:13" x14ac:dyDescent="0.3">
      <c r="L558" s="18" t="s">
        <v>658</v>
      </c>
      <c r="M558" s="23" t="s">
        <v>96</v>
      </c>
    </row>
    <row r="559" spans="12:13" x14ac:dyDescent="0.3">
      <c r="L559" s="19" t="s">
        <v>659</v>
      </c>
      <c r="M559" s="24" t="s">
        <v>96</v>
      </c>
    </row>
    <row r="560" spans="12:13" x14ac:dyDescent="0.3">
      <c r="L560" s="18" t="s">
        <v>660</v>
      </c>
      <c r="M560" s="23" t="s">
        <v>96</v>
      </c>
    </row>
    <row r="561" spans="12:13" x14ac:dyDescent="0.3">
      <c r="L561" s="19" t="s">
        <v>369</v>
      </c>
      <c r="M561" s="24" t="s">
        <v>96</v>
      </c>
    </row>
    <row r="562" spans="12:13" x14ac:dyDescent="0.3">
      <c r="L562" s="18" t="s">
        <v>661</v>
      </c>
      <c r="M562" s="23" t="s">
        <v>96</v>
      </c>
    </row>
    <row r="563" spans="12:13" x14ac:dyDescent="0.3">
      <c r="L563" s="19" t="s">
        <v>662</v>
      </c>
      <c r="M563" s="24" t="s">
        <v>96</v>
      </c>
    </row>
    <row r="564" spans="12:13" x14ac:dyDescent="0.3">
      <c r="L564" s="18" t="s">
        <v>663</v>
      </c>
      <c r="M564" s="23" t="s">
        <v>96</v>
      </c>
    </row>
    <row r="565" spans="12:13" x14ac:dyDescent="0.3">
      <c r="L565" s="19" t="s">
        <v>664</v>
      </c>
      <c r="M565" s="24" t="s">
        <v>96</v>
      </c>
    </row>
    <row r="566" spans="12:13" x14ac:dyDescent="0.3">
      <c r="L566" s="18" t="s">
        <v>317</v>
      </c>
      <c r="M566" s="23" t="s">
        <v>96</v>
      </c>
    </row>
    <row r="567" spans="12:13" x14ac:dyDescent="0.3">
      <c r="L567" s="19" t="s">
        <v>665</v>
      </c>
      <c r="M567" s="24" t="s">
        <v>96</v>
      </c>
    </row>
    <row r="568" spans="12:13" x14ac:dyDescent="0.3">
      <c r="L568" s="18" t="s">
        <v>435</v>
      </c>
      <c r="M568" s="23" t="s">
        <v>96</v>
      </c>
    </row>
    <row r="569" spans="12:13" x14ac:dyDescent="0.3">
      <c r="L569" s="19" t="s">
        <v>227</v>
      </c>
      <c r="M569" s="24" t="s">
        <v>96</v>
      </c>
    </row>
    <row r="570" spans="12:13" x14ac:dyDescent="0.3">
      <c r="L570" s="18" t="s">
        <v>231</v>
      </c>
      <c r="M570" s="23" t="s">
        <v>96</v>
      </c>
    </row>
    <row r="571" spans="12:13" x14ac:dyDescent="0.3">
      <c r="L571" s="19" t="s">
        <v>443</v>
      </c>
      <c r="M571" s="24" t="s">
        <v>96</v>
      </c>
    </row>
    <row r="572" spans="12:13" x14ac:dyDescent="0.3">
      <c r="L572" s="18" t="s">
        <v>666</v>
      </c>
      <c r="M572" s="23" t="s">
        <v>96</v>
      </c>
    </row>
    <row r="573" spans="12:13" x14ac:dyDescent="0.3">
      <c r="L573" s="19" t="s">
        <v>667</v>
      </c>
      <c r="M573" s="24" t="s">
        <v>96</v>
      </c>
    </row>
    <row r="574" spans="12:13" x14ac:dyDescent="0.3">
      <c r="L574" s="18" t="s">
        <v>668</v>
      </c>
      <c r="M574" s="23" t="s">
        <v>96</v>
      </c>
    </row>
    <row r="575" spans="12:13" x14ac:dyDescent="0.3">
      <c r="L575" s="19" t="s">
        <v>238</v>
      </c>
      <c r="M575" s="24" t="s">
        <v>96</v>
      </c>
    </row>
    <row r="576" spans="12:13" x14ac:dyDescent="0.3">
      <c r="L576" s="18" t="s">
        <v>669</v>
      </c>
      <c r="M576" s="23" t="s">
        <v>96</v>
      </c>
    </row>
    <row r="577" spans="12:13" x14ac:dyDescent="0.3">
      <c r="L577" s="19" t="s">
        <v>670</v>
      </c>
      <c r="M577" s="24" t="s">
        <v>96</v>
      </c>
    </row>
    <row r="578" spans="12:13" x14ac:dyDescent="0.3">
      <c r="L578" s="18" t="s">
        <v>671</v>
      </c>
      <c r="M578" s="23" t="s">
        <v>96</v>
      </c>
    </row>
    <row r="579" spans="12:13" x14ac:dyDescent="0.3">
      <c r="L579" s="19" t="s">
        <v>672</v>
      </c>
      <c r="M579" s="24" t="s">
        <v>96</v>
      </c>
    </row>
    <row r="580" spans="12:13" x14ac:dyDescent="0.3">
      <c r="L580" s="18" t="s">
        <v>673</v>
      </c>
      <c r="M580" s="23" t="s">
        <v>96</v>
      </c>
    </row>
    <row r="581" spans="12:13" x14ac:dyDescent="0.3">
      <c r="L581" s="19" t="s">
        <v>338</v>
      </c>
      <c r="M581" s="24" t="s">
        <v>96</v>
      </c>
    </row>
    <row r="582" spans="12:13" x14ac:dyDescent="0.3">
      <c r="L582" s="18" t="s">
        <v>246</v>
      </c>
      <c r="M582" s="23" t="s">
        <v>96</v>
      </c>
    </row>
    <row r="583" spans="12:13" x14ac:dyDescent="0.3">
      <c r="L583" s="19" t="s">
        <v>674</v>
      </c>
      <c r="M583" s="24" t="s">
        <v>96</v>
      </c>
    </row>
    <row r="584" spans="12:13" x14ac:dyDescent="0.3">
      <c r="L584" s="18" t="s">
        <v>675</v>
      </c>
      <c r="M584" s="23" t="s">
        <v>96</v>
      </c>
    </row>
    <row r="585" spans="12:13" x14ac:dyDescent="0.3">
      <c r="L585" s="19" t="s">
        <v>676</v>
      </c>
      <c r="M585" s="24" t="s">
        <v>96</v>
      </c>
    </row>
    <row r="586" spans="12:13" x14ac:dyDescent="0.3">
      <c r="L586" s="18" t="s">
        <v>677</v>
      </c>
      <c r="M586" s="23" t="s">
        <v>96</v>
      </c>
    </row>
    <row r="587" spans="12:13" x14ac:dyDescent="0.3">
      <c r="L587" s="19" t="s">
        <v>678</v>
      </c>
      <c r="M587" s="24" t="s">
        <v>96</v>
      </c>
    </row>
    <row r="588" spans="12:13" x14ac:dyDescent="0.3">
      <c r="L588" s="18" t="s">
        <v>679</v>
      </c>
      <c r="M588" s="23" t="s">
        <v>96</v>
      </c>
    </row>
    <row r="589" spans="12:13" x14ac:dyDescent="0.3">
      <c r="L589" s="19" t="s">
        <v>680</v>
      </c>
      <c r="M589" s="24" t="s">
        <v>96</v>
      </c>
    </row>
    <row r="590" spans="12:13" x14ac:dyDescent="0.3">
      <c r="L590" s="18" t="s">
        <v>681</v>
      </c>
      <c r="M590" s="23" t="s">
        <v>96</v>
      </c>
    </row>
    <row r="591" spans="12:13" x14ac:dyDescent="0.3">
      <c r="L591" s="19" t="s">
        <v>682</v>
      </c>
      <c r="M591" s="24" t="s">
        <v>96</v>
      </c>
    </row>
    <row r="592" spans="12:13" x14ac:dyDescent="0.3">
      <c r="L592" s="18" t="s">
        <v>683</v>
      </c>
      <c r="M592" s="23" t="s">
        <v>96</v>
      </c>
    </row>
    <row r="593" spans="12:13" x14ac:dyDescent="0.3">
      <c r="L593" s="19" t="s">
        <v>266</v>
      </c>
      <c r="M593" s="24" t="s">
        <v>96</v>
      </c>
    </row>
    <row r="594" spans="12:13" x14ac:dyDescent="0.3">
      <c r="L594" s="18" t="s">
        <v>422</v>
      </c>
      <c r="M594" s="23" t="s">
        <v>95</v>
      </c>
    </row>
    <row r="595" spans="12:13" x14ac:dyDescent="0.3">
      <c r="L595" s="19" t="s">
        <v>684</v>
      </c>
      <c r="M595" s="24" t="s">
        <v>95</v>
      </c>
    </row>
    <row r="596" spans="12:13" x14ac:dyDescent="0.3">
      <c r="L596" s="18" t="s">
        <v>685</v>
      </c>
      <c r="M596" s="23" t="s">
        <v>95</v>
      </c>
    </row>
    <row r="597" spans="12:13" x14ac:dyDescent="0.3">
      <c r="L597" s="19" t="s">
        <v>313</v>
      </c>
      <c r="M597" s="24" t="s">
        <v>95</v>
      </c>
    </row>
    <row r="598" spans="12:13" x14ac:dyDescent="0.3">
      <c r="L598" s="18" t="s">
        <v>686</v>
      </c>
      <c r="M598" s="23" t="s">
        <v>95</v>
      </c>
    </row>
    <row r="599" spans="12:13" x14ac:dyDescent="0.3">
      <c r="L599" s="19" t="s">
        <v>687</v>
      </c>
      <c r="M599" s="24" t="s">
        <v>95</v>
      </c>
    </row>
    <row r="600" spans="12:13" x14ac:dyDescent="0.3">
      <c r="L600" s="18" t="s">
        <v>209</v>
      </c>
      <c r="M600" s="23" t="s">
        <v>95</v>
      </c>
    </row>
    <row r="601" spans="12:13" x14ac:dyDescent="0.3">
      <c r="L601" s="19" t="s">
        <v>315</v>
      </c>
      <c r="M601" s="24" t="s">
        <v>95</v>
      </c>
    </row>
    <row r="602" spans="12:13" x14ac:dyDescent="0.3">
      <c r="L602" s="18" t="s">
        <v>688</v>
      </c>
      <c r="M602" s="23" t="s">
        <v>95</v>
      </c>
    </row>
    <row r="603" spans="12:13" x14ac:dyDescent="0.3">
      <c r="L603" s="19" t="s">
        <v>689</v>
      </c>
      <c r="M603" s="24" t="s">
        <v>95</v>
      </c>
    </row>
    <row r="604" spans="12:13" x14ac:dyDescent="0.3">
      <c r="L604" s="18" t="s">
        <v>690</v>
      </c>
      <c r="M604" s="23" t="s">
        <v>95</v>
      </c>
    </row>
    <row r="605" spans="12:13" x14ac:dyDescent="0.3">
      <c r="L605" s="19" t="s">
        <v>317</v>
      </c>
      <c r="M605" s="24" t="s">
        <v>95</v>
      </c>
    </row>
    <row r="606" spans="12:13" x14ac:dyDescent="0.3">
      <c r="L606" s="18" t="s">
        <v>215</v>
      </c>
      <c r="M606" s="23" t="s">
        <v>95</v>
      </c>
    </row>
    <row r="607" spans="12:13" x14ac:dyDescent="0.3">
      <c r="L607" s="19" t="s">
        <v>691</v>
      </c>
      <c r="M607" s="24" t="s">
        <v>95</v>
      </c>
    </row>
    <row r="608" spans="12:13" x14ac:dyDescent="0.3">
      <c r="L608" s="18" t="s">
        <v>692</v>
      </c>
      <c r="M608" s="23" t="s">
        <v>95</v>
      </c>
    </row>
    <row r="609" spans="12:13" x14ac:dyDescent="0.3">
      <c r="L609" s="19" t="s">
        <v>564</v>
      </c>
      <c r="M609" s="24" t="s">
        <v>95</v>
      </c>
    </row>
    <row r="610" spans="12:13" x14ac:dyDescent="0.3">
      <c r="L610" s="18" t="s">
        <v>322</v>
      </c>
      <c r="M610" s="23" t="s">
        <v>95</v>
      </c>
    </row>
    <row r="611" spans="12:13" x14ac:dyDescent="0.3">
      <c r="L611" s="19" t="s">
        <v>693</v>
      </c>
      <c r="M611" s="24" t="s">
        <v>95</v>
      </c>
    </row>
    <row r="612" spans="12:13" x14ac:dyDescent="0.3">
      <c r="L612" s="18" t="s">
        <v>226</v>
      </c>
      <c r="M612" s="23" t="s">
        <v>95</v>
      </c>
    </row>
    <row r="613" spans="12:13" x14ac:dyDescent="0.3">
      <c r="L613" s="19" t="s">
        <v>694</v>
      </c>
      <c r="M613" s="24" t="s">
        <v>95</v>
      </c>
    </row>
    <row r="614" spans="12:13" x14ac:dyDescent="0.3">
      <c r="L614" s="18" t="s">
        <v>439</v>
      </c>
      <c r="M614" s="23" t="s">
        <v>95</v>
      </c>
    </row>
    <row r="615" spans="12:13" x14ac:dyDescent="0.3">
      <c r="L615" s="19" t="s">
        <v>695</v>
      </c>
      <c r="M615" s="24" t="s">
        <v>95</v>
      </c>
    </row>
    <row r="616" spans="12:13" x14ac:dyDescent="0.3">
      <c r="L616" s="18" t="s">
        <v>696</v>
      </c>
      <c r="M616" s="23" t="s">
        <v>95</v>
      </c>
    </row>
    <row r="617" spans="12:13" x14ac:dyDescent="0.3">
      <c r="L617" s="19" t="s">
        <v>697</v>
      </c>
      <c r="M617" s="24" t="s">
        <v>95</v>
      </c>
    </row>
    <row r="618" spans="12:13" x14ac:dyDescent="0.3">
      <c r="L618" s="18" t="s">
        <v>575</v>
      </c>
      <c r="M618" s="23" t="s">
        <v>95</v>
      </c>
    </row>
    <row r="619" spans="12:13" x14ac:dyDescent="0.3">
      <c r="L619" s="19" t="s">
        <v>230</v>
      </c>
      <c r="M619" s="24" t="s">
        <v>95</v>
      </c>
    </row>
    <row r="620" spans="12:13" x14ac:dyDescent="0.3">
      <c r="L620" s="18" t="s">
        <v>698</v>
      </c>
      <c r="M620" s="23" t="s">
        <v>95</v>
      </c>
    </row>
    <row r="621" spans="12:13" x14ac:dyDescent="0.3">
      <c r="L621" s="19" t="s">
        <v>231</v>
      </c>
      <c r="M621" s="24" t="s">
        <v>95</v>
      </c>
    </row>
    <row r="622" spans="12:13" x14ac:dyDescent="0.3">
      <c r="L622" s="18" t="s">
        <v>328</v>
      </c>
      <c r="M622" s="23" t="s">
        <v>95</v>
      </c>
    </row>
    <row r="623" spans="12:13" x14ac:dyDescent="0.3">
      <c r="L623" s="19" t="s">
        <v>699</v>
      </c>
      <c r="M623" s="24" t="s">
        <v>95</v>
      </c>
    </row>
    <row r="624" spans="12:13" x14ac:dyDescent="0.3">
      <c r="L624" s="18" t="s">
        <v>233</v>
      </c>
      <c r="M624" s="23" t="s">
        <v>95</v>
      </c>
    </row>
    <row r="625" spans="12:13" x14ac:dyDescent="0.3">
      <c r="L625" s="19" t="s">
        <v>700</v>
      </c>
      <c r="M625" s="24" t="s">
        <v>95</v>
      </c>
    </row>
    <row r="626" spans="12:13" x14ac:dyDescent="0.3">
      <c r="L626" s="18" t="s">
        <v>507</v>
      </c>
      <c r="M626" s="23" t="s">
        <v>95</v>
      </c>
    </row>
    <row r="627" spans="12:13" x14ac:dyDescent="0.3">
      <c r="L627" s="19" t="s">
        <v>589</v>
      </c>
      <c r="M627" s="24" t="s">
        <v>95</v>
      </c>
    </row>
    <row r="628" spans="12:13" x14ac:dyDescent="0.3">
      <c r="L628" s="18" t="s">
        <v>701</v>
      </c>
      <c r="M628" s="23" t="s">
        <v>95</v>
      </c>
    </row>
    <row r="629" spans="12:13" x14ac:dyDescent="0.3">
      <c r="L629" s="19" t="s">
        <v>702</v>
      </c>
      <c r="M629" s="24" t="s">
        <v>95</v>
      </c>
    </row>
    <row r="630" spans="12:13" x14ac:dyDescent="0.3">
      <c r="L630" s="18" t="s">
        <v>235</v>
      </c>
      <c r="M630" s="23" t="s">
        <v>95</v>
      </c>
    </row>
    <row r="631" spans="12:13" x14ac:dyDescent="0.3">
      <c r="L631" s="19" t="s">
        <v>703</v>
      </c>
      <c r="M631" s="24" t="s">
        <v>95</v>
      </c>
    </row>
    <row r="632" spans="12:13" x14ac:dyDescent="0.3">
      <c r="L632" s="18" t="s">
        <v>237</v>
      </c>
      <c r="M632" s="23" t="s">
        <v>95</v>
      </c>
    </row>
    <row r="633" spans="12:13" x14ac:dyDescent="0.3">
      <c r="L633" s="19" t="s">
        <v>595</v>
      </c>
      <c r="M633" s="24" t="s">
        <v>95</v>
      </c>
    </row>
    <row r="634" spans="12:13" x14ac:dyDescent="0.3">
      <c r="L634" s="18" t="s">
        <v>238</v>
      </c>
      <c r="M634" s="23" t="s">
        <v>95</v>
      </c>
    </row>
    <row r="635" spans="12:13" x14ac:dyDescent="0.3">
      <c r="L635" s="19" t="s">
        <v>704</v>
      </c>
      <c r="M635" s="24" t="s">
        <v>95</v>
      </c>
    </row>
    <row r="636" spans="12:13" x14ac:dyDescent="0.3">
      <c r="L636" s="18" t="s">
        <v>705</v>
      </c>
      <c r="M636" s="23" t="s">
        <v>95</v>
      </c>
    </row>
    <row r="637" spans="12:13" x14ac:dyDescent="0.3">
      <c r="L637" s="19" t="s">
        <v>336</v>
      </c>
      <c r="M637" s="24" t="s">
        <v>95</v>
      </c>
    </row>
    <row r="638" spans="12:13" x14ac:dyDescent="0.3">
      <c r="L638" s="18" t="s">
        <v>706</v>
      </c>
      <c r="M638" s="23" t="s">
        <v>95</v>
      </c>
    </row>
    <row r="639" spans="12:13" x14ac:dyDescent="0.3">
      <c r="L639" s="19" t="s">
        <v>707</v>
      </c>
      <c r="M639" s="24" t="s">
        <v>95</v>
      </c>
    </row>
    <row r="640" spans="12:13" x14ac:dyDescent="0.3">
      <c r="L640" s="18" t="s">
        <v>708</v>
      </c>
      <c r="M640" s="23" t="s">
        <v>95</v>
      </c>
    </row>
    <row r="641" spans="12:13" x14ac:dyDescent="0.3">
      <c r="L641" s="19" t="s">
        <v>709</v>
      </c>
      <c r="M641" s="24" t="s">
        <v>95</v>
      </c>
    </row>
    <row r="642" spans="12:13" x14ac:dyDescent="0.3">
      <c r="L642" s="18" t="s">
        <v>382</v>
      </c>
      <c r="M642" s="23" t="s">
        <v>95</v>
      </c>
    </row>
    <row r="643" spans="12:13" x14ac:dyDescent="0.3">
      <c r="L643" s="19" t="s">
        <v>710</v>
      </c>
      <c r="M643" s="24" t="s">
        <v>95</v>
      </c>
    </row>
    <row r="644" spans="12:13" x14ac:dyDescent="0.3">
      <c r="L644" s="18" t="s">
        <v>241</v>
      </c>
      <c r="M644" s="23" t="s">
        <v>95</v>
      </c>
    </row>
    <row r="645" spans="12:13" x14ac:dyDescent="0.3">
      <c r="L645" s="19" t="s">
        <v>242</v>
      </c>
      <c r="M645" s="24" t="s">
        <v>95</v>
      </c>
    </row>
    <row r="646" spans="12:13" x14ac:dyDescent="0.3">
      <c r="L646" s="18" t="s">
        <v>711</v>
      </c>
      <c r="M646" s="23" t="s">
        <v>95</v>
      </c>
    </row>
    <row r="647" spans="12:13" x14ac:dyDescent="0.3">
      <c r="L647" s="19" t="s">
        <v>340</v>
      </c>
      <c r="M647" s="24" t="s">
        <v>95</v>
      </c>
    </row>
    <row r="648" spans="12:13" x14ac:dyDescent="0.3">
      <c r="L648" s="18" t="s">
        <v>712</v>
      </c>
      <c r="M648" s="23" t="s">
        <v>95</v>
      </c>
    </row>
    <row r="649" spans="12:13" x14ac:dyDescent="0.3">
      <c r="L649" s="19" t="s">
        <v>713</v>
      </c>
      <c r="M649" s="24" t="s">
        <v>95</v>
      </c>
    </row>
    <row r="650" spans="12:13" x14ac:dyDescent="0.3">
      <c r="L650" s="18" t="s">
        <v>714</v>
      </c>
      <c r="M650" s="23" t="s">
        <v>95</v>
      </c>
    </row>
    <row r="651" spans="12:13" x14ac:dyDescent="0.3">
      <c r="L651" s="19" t="s">
        <v>245</v>
      </c>
      <c r="M651" s="24" t="s">
        <v>95</v>
      </c>
    </row>
    <row r="652" spans="12:13" x14ac:dyDescent="0.3">
      <c r="L652" s="18" t="s">
        <v>715</v>
      </c>
      <c r="M652" s="23" t="s">
        <v>95</v>
      </c>
    </row>
    <row r="653" spans="12:13" x14ac:dyDescent="0.3">
      <c r="L653" s="19" t="s">
        <v>246</v>
      </c>
      <c r="M653" s="24" t="s">
        <v>95</v>
      </c>
    </row>
    <row r="654" spans="12:13" x14ac:dyDescent="0.3">
      <c r="L654" s="18" t="s">
        <v>248</v>
      </c>
      <c r="M654" s="23" t="s">
        <v>95</v>
      </c>
    </row>
    <row r="655" spans="12:13" x14ac:dyDescent="0.3">
      <c r="L655" s="19" t="s">
        <v>249</v>
      </c>
      <c r="M655" s="24" t="s">
        <v>95</v>
      </c>
    </row>
    <row r="656" spans="12:13" x14ac:dyDescent="0.3">
      <c r="L656" s="18" t="s">
        <v>716</v>
      </c>
      <c r="M656" s="23" t="s">
        <v>95</v>
      </c>
    </row>
    <row r="657" spans="12:13" x14ac:dyDescent="0.3">
      <c r="L657" s="19" t="s">
        <v>717</v>
      </c>
      <c r="M657" s="24" t="s">
        <v>95</v>
      </c>
    </row>
    <row r="658" spans="12:13" x14ac:dyDescent="0.3">
      <c r="L658" s="18" t="s">
        <v>718</v>
      </c>
      <c r="M658" s="23" t="s">
        <v>95</v>
      </c>
    </row>
    <row r="659" spans="12:13" x14ac:dyDescent="0.3">
      <c r="L659" s="19" t="s">
        <v>719</v>
      </c>
      <c r="M659" s="24" t="s">
        <v>95</v>
      </c>
    </row>
    <row r="660" spans="12:13" x14ac:dyDescent="0.3">
      <c r="L660" s="18" t="s">
        <v>251</v>
      </c>
      <c r="M660" s="23" t="s">
        <v>95</v>
      </c>
    </row>
    <row r="661" spans="12:13" x14ac:dyDescent="0.3">
      <c r="L661" s="19" t="s">
        <v>252</v>
      </c>
      <c r="M661" s="24" t="s">
        <v>95</v>
      </c>
    </row>
    <row r="662" spans="12:13" x14ac:dyDescent="0.3">
      <c r="L662" s="18" t="s">
        <v>253</v>
      </c>
      <c r="M662" s="23" t="s">
        <v>95</v>
      </c>
    </row>
    <row r="663" spans="12:13" x14ac:dyDescent="0.3">
      <c r="L663" s="19" t="s">
        <v>720</v>
      </c>
      <c r="M663" s="24" t="s">
        <v>95</v>
      </c>
    </row>
    <row r="664" spans="12:13" x14ac:dyDescent="0.3">
      <c r="L664" s="18" t="s">
        <v>721</v>
      </c>
      <c r="M664" s="23" t="s">
        <v>95</v>
      </c>
    </row>
    <row r="665" spans="12:13" x14ac:dyDescent="0.3">
      <c r="L665" s="19" t="s">
        <v>722</v>
      </c>
      <c r="M665" s="24" t="s">
        <v>95</v>
      </c>
    </row>
    <row r="666" spans="12:13" x14ac:dyDescent="0.3">
      <c r="L666" s="18" t="s">
        <v>254</v>
      </c>
      <c r="M666" s="23" t="s">
        <v>95</v>
      </c>
    </row>
    <row r="667" spans="12:13" x14ac:dyDescent="0.3">
      <c r="L667" s="19" t="s">
        <v>723</v>
      </c>
      <c r="M667" s="24" t="s">
        <v>95</v>
      </c>
    </row>
    <row r="668" spans="12:13" x14ac:dyDescent="0.3">
      <c r="L668" s="18" t="s">
        <v>256</v>
      </c>
      <c r="M668" s="23" t="s">
        <v>95</v>
      </c>
    </row>
    <row r="669" spans="12:13" x14ac:dyDescent="0.3">
      <c r="L669" s="19" t="s">
        <v>350</v>
      </c>
      <c r="M669" s="24" t="s">
        <v>95</v>
      </c>
    </row>
    <row r="670" spans="12:13" x14ac:dyDescent="0.3">
      <c r="L670" s="18" t="s">
        <v>352</v>
      </c>
      <c r="M670" s="23" t="s">
        <v>95</v>
      </c>
    </row>
    <row r="671" spans="12:13" x14ac:dyDescent="0.3">
      <c r="L671" s="19" t="s">
        <v>527</v>
      </c>
      <c r="M671" s="24" t="s">
        <v>95</v>
      </c>
    </row>
    <row r="672" spans="12:13" x14ac:dyDescent="0.3">
      <c r="L672" s="18" t="s">
        <v>257</v>
      </c>
      <c r="M672" s="23" t="s">
        <v>95</v>
      </c>
    </row>
    <row r="673" spans="12:13" x14ac:dyDescent="0.3">
      <c r="L673" s="19" t="s">
        <v>724</v>
      </c>
      <c r="M673" s="24" t="s">
        <v>95</v>
      </c>
    </row>
    <row r="674" spans="12:13" x14ac:dyDescent="0.3">
      <c r="L674" s="18" t="s">
        <v>725</v>
      </c>
      <c r="M674" s="23" t="s">
        <v>95</v>
      </c>
    </row>
    <row r="675" spans="12:13" x14ac:dyDescent="0.3">
      <c r="L675" s="19" t="s">
        <v>259</v>
      </c>
      <c r="M675" s="24" t="s">
        <v>95</v>
      </c>
    </row>
    <row r="676" spans="12:13" x14ac:dyDescent="0.3">
      <c r="L676" s="18" t="s">
        <v>354</v>
      </c>
      <c r="M676" s="23" t="s">
        <v>95</v>
      </c>
    </row>
    <row r="677" spans="12:13" x14ac:dyDescent="0.3">
      <c r="L677" s="19" t="s">
        <v>726</v>
      </c>
      <c r="M677" s="24" t="s">
        <v>95</v>
      </c>
    </row>
    <row r="678" spans="12:13" x14ac:dyDescent="0.3">
      <c r="L678" s="18" t="s">
        <v>727</v>
      </c>
      <c r="M678" s="23" t="s">
        <v>95</v>
      </c>
    </row>
    <row r="679" spans="12:13" x14ac:dyDescent="0.3">
      <c r="L679" s="19" t="s">
        <v>355</v>
      </c>
      <c r="M679" s="24" t="s">
        <v>95</v>
      </c>
    </row>
    <row r="680" spans="12:13" x14ac:dyDescent="0.3">
      <c r="L680" s="18" t="s">
        <v>260</v>
      </c>
      <c r="M680" s="23" t="s">
        <v>95</v>
      </c>
    </row>
    <row r="681" spans="12:13" x14ac:dyDescent="0.3">
      <c r="L681" s="19" t="s">
        <v>728</v>
      </c>
      <c r="M681" s="24" t="s">
        <v>95</v>
      </c>
    </row>
    <row r="682" spans="12:13" x14ac:dyDescent="0.3">
      <c r="L682" s="18" t="s">
        <v>729</v>
      </c>
      <c r="M682" s="23" t="s">
        <v>95</v>
      </c>
    </row>
    <row r="683" spans="12:13" x14ac:dyDescent="0.3">
      <c r="L683" s="19" t="s">
        <v>730</v>
      </c>
      <c r="M683" s="24" t="s">
        <v>95</v>
      </c>
    </row>
    <row r="684" spans="12:13" x14ac:dyDescent="0.3">
      <c r="L684" s="18" t="s">
        <v>361</v>
      </c>
      <c r="M684" s="23" t="s">
        <v>95</v>
      </c>
    </row>
    <row r="685" spans="12:13" x14ac:dyDescent="0.3">
      <c r="L685" s="19" t="s">
        <v>731</v>
      </c>
      <c r="M685" s="24" t="s">
        <v>95</v>
      </c>
    </row>
    <row r="686" spans="12:13" x14ac:dyDescent="0.3">
      <c r="L686" s="18" t="s">
        <v>732</v>
      </c>
      <c r="M686" s="23" t="s">
        <v>95</v>
      </c>
    </row>
    <row r="687" spans="12:13" x14ac:dyDescent="0.3">
      <c r="L687" s="19" t="s">
        <v>638</v>
      </c>
      <c r="M687" s="24" t="s">
        <v>95</v>
      </c>
    </row>
    <row r="688" spans="12:13" x14ac:dyDescent="0.3">
      <c r="L688" s="18" t="s">
        <v>266</v>
      </c>
      <c r="M688" s="23" t="s">
        <v>95</v>
      </c>
    </row>
    <row r="689" spans="12:13" x14ac:dyDescent="0.3">
      <c r="L689" s="19" t="s">
        <v>639</v>
      </c>
      <c r="M689" s="24" t="s">
        <v>95</v>
      </c>
    </row>
    <row r="690" spans="12:13" x14ac:dyDescent="0.3">
      <c r="L690" s="18" t="s">
        <v>363</v>
      </c>
      <c r="M690" s="23" t="s">
        <v>95</v>
      </c>
    </row>
    <row r="691" spans="12:13" x14ac:dyDescent="0.3">
      <c r="L691" s="19" t="s">
        <v>733</v>
      </c>
      <c r="M691" s="24" t="s">
        <v>95</v>
      </c>
    </row>
    <row r="692" spans="12:13" x14ac:dyDescent="0.3">
      <c r="L692" s="18" t="s">
        <v>734</v>
      </c>
      <c r="M692" s="23" t="s">
        <v>95</v>
      </c>
    </row>
    <row r="693" spans="12:13" x14ac:dyDescent="0.3">
      <c r="L693" s="19" t="s">
        <v>735</v>
      </c>
      <c r="M693" s="24" t="s">
        <v>95</v>
      </c>
    </row>
    <row r="694" spans="12:13" x14ac:dyDescent="0.3">
      <c r="L694" s="18" t="s">
        <v>736</v>
      </c>
      <c r="M694" s="23" t="s">
        <v>95</v>
      </c>
    </row>
    <row r="695" spans="12:13" x14ac:dyDescent="0.3">
      <c r="L695" s="19" t="s">
        <v>737</v>
      </c>
      <c r="M695" s="24" t="s">
        <v>95</v>
      </c>
    </row>
    <row r="696" spans="12:13" x14ac:dyDescent="0.3">
      <c r="L696" s="18" t="s">
        <v>422</v>
      </c>
      <c r="M696" s="23" t="s">
        <v>94</v>
      </c>
    </row>
    <row r="697" spans="12:13" x14ac:dyDescent="0.3">
      <c r="L697" s="19" t="s">
        <v>738</v>
      </c>
      <c r="M697" s="24" t="s">
        <v>94</v>
      </c>
    </row>
    <row r="698" spans="12:13" x14ac:dyDescent="0.3">
      <c r="L698" s="18" t="s">
        <v>739</v>
      </c>
      <c r="M698" s="23" t="s">
        <v>94</v>
      </c>
    </row>
    <row r="699" spans="12:13" x14ac:dyDescent="0.3">
      <c r="L699" s="19" t="s">
        <v>312</v>
      </c>
      <c r="M699" s="24" t="s">
        <v>94</v>
      </c>
    </row>
    <row r="700" spans="12:13" x14ac:dyDescent="0.3">
      <c r="L700" s="18" t="s">
        <v>740</v>
      </c>
      <c r="M700" s="23" t="s">
        <v>94</v>
      </c>
    </row>
    <row r="701" spans="12:13" x14ac:dyDescent="0.3">
      <c r="L701" s="19" t="s">
        <v>313</v>
      </c>
      <c r="M701" s="24" t="s">
        <v>94</v>
      </c>
    </row>
    <row r="702" spans="12:13" x14ac:dyDescent="0.3">
      <c r="L702" s="18" t="s">
        <v>686</v>
      </c>
      <c r="M702" s="23" t="s">
        <v>94</v>
      </c>
    </row>
    <row r="703" spans="12:13" x14ac:dyDescent="0.3">
      <c r="L703" s="19" t="s">
        <v>315</v>
      </c>
      <c r="M703" s="24" t="s">
        <v>94</v>
      </c>
    </row>
    <row r="704" spans="12:13" x14ac:dyDescent="0.3">
      <c r="L704" s="18" t="s">
        <v>688</v>
      </c>
      <c r="M704" s="23" t="s">
        <v>94</v>
      </c>
    </row>
    <row r="705" spans="12:13" x14ac:dyDescent="0.3">
      <c r="L705" s="19" t="s">
        <v>317</v>
      </c>
      <c r="M705" s="24" t="s">
        <v>94</v>
      </c>
    </row>
    <row r="706" spans="12:13" x14ac:dyDescent="0.3">
      <c r="L706" s="18" t="s">
        <v>215</v>
      </c>
      <c r="M706" s="23" t="s">
        <v>94</v>
      </c>
    </row>
    <row r="707" spans="12:13" x14ac:dyDescent="0.3">
      <c r="L707" s="19" t="s">
        <v>691</v>
      </c>
      <c r="M707" s="24" t="s">
        <v>94</v>
      </c>
    </row>
    <row r="708" spans="12:13" x14ac:dyDescent="0.3">
      <c r="L708" s="18" t="s">
        <v>322</v>
      </c>
      <c r="M708" s="23" t="s">
        <v>94</v>
      </c>
    </row>
    <row r="709" spans="12:13" x14ac:dyDescent="0.3">
      <c r="L709" s="19" t="s">
        <v>741</v>
      </c>
      <c r="M709" s="24" t="s">
        <v>94</v>
      </c>
    </row>
    <row r="710" spans="12:13" x14ac:dyDescent="0.3">
      <c r="L710" s="18" t="s">
        <v>742</v>
      </c>
      <c r="M710" s="23" t="s">
        <v>94</v>
      </c>
    </row>
    <row r="711" spans="12:13" x14ac:dyDescent="0.3">
      <c r="L711" s="19" t="s">
        <v>568</v>
      </c>
      <c r="M711" s="24" t="s">
        <v>94</v>
      </c>
    </row>
    <row r="712" spans="12:13" x14ac:dyDescent="0.3">
      <c r="L712" s="18" t="s">
        <v>569</v>
      </c>
      <c r="M712" s="23" t="s">
        <v>94</v>
      </c>
    </row>
    <row r="713" spans="12:13" x14ac:dyDescent="0.3">
      <c r="L713" s="19" t="s">
        <v>743</v>
      </c>
      <c r="M713" s="24" t="s">
        <v>94</v>
      </c>
    </row>
    <row r="714" spans="12:13" x14ac:dyDescent="0.3">
      <c r="L714" s="18" t="s">
        <v>744</v>
      </c>
      <c r="M714" s="23" t="s">
        <v>94</v>
      </c>
    </row>
    <row r="715" spans="12:13" x14ac:dyDescent="0.3">
      <c r="L715" s="19" t="s">
        <v>745</v>
      </c>
      <c r="M715" s="24" t="s">
        <v>94</v>
      </c>
    </row>
    <row r="716" spans="12:13" x14ac:dyDescent="0.3">
      <c r="L716" s="18" t="s">
        <v>230</v>
      </c>
      <c r="M716" s="23" t="s">
        <v>94</v>
      </c>
    </row>
    <row r="717" spans="12:13" x14ac:dyDescent="0.3">
      <c r="L717" s="19" t="s">
        <v>579</v>
      </c>
      <c r="M717" s="24" t="s">
        <v>94</v>
      </c>
    </row>
    <row r="718" spans="12:13" x14ac:dyDescent="0.3">
      <c r="L718" s="18" t="s">
        <v>746</v>
      </c>
      <c r="M718" s="23" t="s">
        <v>94</v>
      </c>
    </row>
    <row r="719" spans="12:13" x14ac:dyDescent="0.3">
      <c r="L719" s="19" t="s">
        <v>231</v>
      </c>
      <c r="M719" s="24" t="s">
        <v>94</v>
      </c>
    </row>
    <row r="720" spans="12:13" x14ac:dyDescent="0.3">
      <c r="L720" s="18" t="s">
        <v>328</v>
      </c>
      <c r="M720" s="23" t="s">
        <v>94</v>
      </c>
    </row>
    <row r="721" spans="12:13" x14ac:dyDescent="0.3">
      <c r="L721" s="19" t="s">
        <v>747</v>
      </c>
      <c r="M721" s="24" t="s">
        <v>94</v>
      </c>
    </row>
    <row r="722" spans="12:13" x14ac:dyDescent="0.3">
      <c r="L722" s="18" t="s">
        <v>330</v>
      </c>
      <c r="M722" s="23" t="s">
        <v>94</v>
      </c>
    </row>
    <row r="723" spans="12:13" x14ac:dyDescent="0.3">
      <c r="L723" s="19" t="s">
        <v>233</v>
      </c>
      <c r="M723" s="24" t="s">
        <v>94</v>
      </c>
    </row>
    <row r="724" spans="12:13" x14ac:dyDescent="0.3">
      <c r="L724" s="18" t="s">
        <v>507</v>
      </c>
      <c r="M724" s="23" t="s">
        <v>94</v>
      </c>
    </row>
    <row r="725" spans="12:13" x14ac:dyDescent="0.3">
      <c r="L725" s="19" t="s">
        <v>589</v>
      </c>
      <c r="M725" s="24" t="s">
        <v>94</v>
      </c>
    </row>
    <row r="726" spans="12:13" x14ac:dyDescent="0.3">
      <c r="L726" s="18" t="s">
        <v>748</v>
      </c>
      <c r="M726" s="23" t="s">
        <v>94</v>
      </c>
    </row>
    <row r="727" spans="12:13" x14ac:dyDescent="0.3">
      <c r="L727" s="19" t="s">
        <v>749</v>
      </c>
      <c r="M727" s="24" t="s">
        <v>94</v>
      </c>
    </row>
    <row r="728" spans="12:13" x14ac:dyDescent="0.3">
      <c r="L728" s="18" t="s">
        <v>235</v>
      </c>
      <c r="M728" s="23" t="s">
        <v>94</v>
      </c>
    </row>
    <row r="729" spans="12:13" x14ac:dyDescent="0.3">
      <c r="L729" s="19" t="s">
        <v>333</v>
      </c>
      <c r="M729" s="24" t="s">
        <v>94</v>
      </c>
    </row>
    <row r="730" spans="12:13" x14ac:dyDescent="0.3">
      <c r="L730" s="18" t="s">
        <v>750</v>
      </c>
      <c r="M730" s="23" t="s">
        <v>94</v>
      </c>
    </row>
    <row r="731" spans="12:13" x14ac:dyDescent="0.3">
      <c r="L731" s="19" t="s">
        <v>237</v>
      </c>
      <c r="M731" s="24" t="s">
        <v>94</v>
      </c>
    </row>
    <row r="732" spans="12:13" x14ac:dyDescent="0.3">
      <c r="L732" s="18" t="s">
        <v>595</v>
      </c>
      <c r="M732" s="23" t="s">
        <v>94</v>
      </c>
    </row>
    <row r="733" spans="12:13" x14ac:dyDescent="0.3">
      <c r="L733" s="19" t="s">
        <v>751</v>
      </c>
      <c r="M733" s="24" t="s">
        <v>94</v>
      </c>
    </row>
    <row r="734" spans="12:13" x14ac:dyDescent="0.3">
      <c r="L734" s="18" t="s">
        <v>238</v>
      </c>
      <c r="M734" s="23" t="s">
        <v>94</v>
      </c>
    </row>
    <row r="735" spans="12:13" x14ac:dyDescent="0.3">
      <c r="L735" s="19" t="s">
        <v>752</v>
      </c>
      <c r="M735" s="24" t="s">
        <v>94</v>
      </c>
    </row>
    <row r="736" spans="12:13" x14ac:dyDescent="0.3">
      <c r="L736" s="18" t="s">
        <v>336</v>
      </c>
      <c r="M736" s="23" t="s">
        <v>94</v>
      </c>
    </row>
    <row r="737" spans="12:13" x14ac:dyDescent="0.3">
      <c r="L737" s="19" t="s">
        <v>709</v>
      </c>
      <c r="M737" s="24" t="s">
        <v>94</v>
      </c>
    </row>
    <row r="738" spans="12:13" x14ac:dyDescent="0.3">
      <c r="L738" s="18" t="s">
        <v>753</v>
      </c>
      <c r="M738" s="23" t="s">
        <v>94</v>
      </c>
    </row>
    <row r="739" spans="12:13" x14ac:dyDescent="0.3">
      <c r="L739" s="19" t="s">
        <v>754</v>
      </c>
      <c r="M739" s="24" t="s">
        <v>94</v>
      </c>
    </row>
    <row r="740" spans="12:13" x14ac:dyDescent="0.3">
      <c r="L740" s="18" t="s">
        <v>382</v>
      </c>
      <c r="M740" s="23" t="s">
        <v>94</v>
      </c>
    </row>
    <row r="741" spans="12:13" x14ac:dyDescent="0.3">
      <c r="L741" s="19" t="s">
        <v>755</v>
      </c>
      <c r="M741" s="24" t="s">
        <v>94</v>
      </c>
    </row>
    <row r="742" spans="12:13" x14ac:dyDescent="0.3">
      <c r="L742" s="18" t="s">
        <v>241</v>
      </c>
      <c r="M742" s="23" t="s">
        <v>94</v>
      </c>
    </row>
    <row r="743" spans="12:13" x14ac:dyDescent="0.3">
      <c r="L743" s="19" t="s">
        <v>246</v>
      </c>
      <c r="M743" s="24" t="s">
        <v>94</v>
      </c>
    </row>
    <row r="744" spans="12:13" x14ac:dyDescent="0.3">
      <c r="L744" s="18" t="s">
        <v>248</v>
      </c>
      <c r="M744" s="23" t="s">
        <v>94</v>
      </c>
    </row>
    <row r="745" spans="12:13" x14ac:dyDescent="0.3">
      <c r="L745" s="19" t="s">
        <v>249</v>
      </c>
      <c r="M745" s="24" t="s">
        <v>94</v>
      </c>
    </row>
    <row r="746" spans="12:13" x14ac:dyDescent="0.3">
      <c r="L746" s="18" t="s">
        <v>519</v>
      </c>
      <c r="M746" s="23" t="s">
        <v>94</v>
      </c>
    </row>
    <row r="747" spans="12:13" x14ac:dyDescent="0.3">
      <c r="L747" s="19" t="s">
        <v>756</v>
      </c>
      <c r="M747" s="24" t="s">
        <v>94</v>
      </c>
    </row>
    <row r="748" spans="12:13" x14ac:dyDescent="0.3">
      <c r="L748" s="18" t="s">
        <v>251</v>
      </c>
      <c r="M748" s="23" t="s">
        <v>94</v>
      </c>
    </row>
    <row r="749" spans="12:13" x14ac:dyDescent="0.3">
      <c r="L749" s="19" t="s">
        <v>252</v>
      </c>
      <c r="M749" s="24" t="s">
        <v>94</v>
      </c>
    </row>
    <row r="750" spans="12:13" x14ac:dyDescent="0.3">
      <c r="L750" s="18" t="s">
        <v>253</v>
      </c>
      <c r="M750" s="23" t="s">
        <v>94</v>
      </c>
    </row>
    <row r="751" spans="12:13" x14ac:dyDescent="0.3">
      <c r="L751" s="19" t="s">
        <v>345</v>
      </c>
      <c r="M751" s="24" t="s">
        <v>94</v>
      </c>
    </row>
    <row r="752" spans="12:13" x14ac:dyDescent="0.3">
      <c r="L752" s="18" t="s">
        <v>757</v>
      </c>
      <c r="M752" s="23" t="s">
        <v>94</v>
      </c>
    </row>
    <row r="753" spans="12:13" x14ac:dyDescent="0.3">
      <c r="L753" s="19" t="s">
        <v>758</v>
      </c>
      <c r="M753" s="24" t="s">
        <v>94</v>
      </c>
    </row>
    <row r="754" spans="12:13" x14ac:dyDescent="0.3">
      <c r="L754" s="18" t="s">
        <v>394</v>
      </c>
      <c r="M754" s="23" t="s">
        <v>94</v>
      </c>
    </row>
    <row r="755" spans="12:13" x14ac:dyDescent="0.3">
      <c r="L755" s="19" t="s">
        <v>759</v>
      </c>
      <c r="M755" s="24" t="s">
        <v>94</v>
      </c>
    </row>
    <row r="756" spans="12:13" x14ac:dyDescent="0.3">
      <c r="L756" s="18" t="s">
        <v>760</v>
      </c>
      <c r="M756" s="23" t="s">
        <v>94</v>
      </c>
    </row>
    <row r="757" spans="12:13" x14ac:dyDescent="0.3">
      <c r="L757" s="19" t="s">
        <v>254</v>
      </c>
      <c r="M757" s="24" t="s">
        <v>94</v>
      </c>
    </row>
    <row r="758" spans="12:13" x14ac:dyDescent="0.3">
      <c r="L758" s="18" t="s">
        <v>256</v>
      </c>
      <c r="M758" s="23" t="s">
        <v>94</v>
      </c>
    </row>
    <row r="759" spans="12:13" x14ac:dyDescent="0.3">
      <c r="L759" s="19" t="s">
        <v>761</v>
      </c>
      <c r="M759" s="24" t="s">
        <v>94</v>
      </c>
    </row>
    <row r="760" spans="12:13" x14ac:dyDescent="0.3">
      <c r="L760" s="18" t="s">
        <v>762</v>
      </c>
      <c r="M760" s="23" t="s">
        <v>94</v>
      </c>
    </row>
    <row r="761" spans="12:13" x14ac:dyDescent="0.3">
      <c r="L761" s="19" t="s">
        <v>352</v>
      </c>
      <c r="M761" s="24" t="s">
        <v>94</v>
      </c>
    </row>
    <row r="762" spans="12:13" x14ac:dyDescent="0.3">
      <c r="L762" s="18" t="s">
        <v>527</v>
      </c>
      <c r="M762" s="23" t="s">
        <v>94</v>
      </c>
    </row>
    <row r="763" spans="12:13" x14ac:dyDescent="0.3">
      <c r="L763" s="19" t="s">
        <v>257</v>
      </c>
      <c r="M763" s="24" t="s">
        <v>94</v>
      </c>
    </row>
    <row r="764" spans="12:13" x14ac:dyDescent="0.3">
      <c r="L764" s="18" t="s">
        <v>763</v>
      </c>
      <c r="M764" s="23" t="s">
        <v>94</v>
      </c>
    </row>
    <row r="765" spans="12:13" x14ac:dyDescent="0.3">
      <c r="L765" s="19" t="s">
        <v>764</v>
      </c>
      <c r="M765" s="24" t="s">
        <v>94</v>
      </c>
    </row>
    <row r="766" spans="12:13" x14ac:dyDescent="0.3">
      <c r="L766" s="18" t="s">
        <v>765</v>
      </c>
      <c r="M766" s="23" t="s">
        <v>94</v>
      </c>
    </row>
    <row r="767" spans="12:13" x14ac:dyDescent="0.3">
      <c r="L767" s="19" t="s">
        <v>355</v>
      </c>
      <c r="M767" s="24" t="s">
        <v>94</v>
      </c>
    </row>
    <row r="768" spans="12:13" x14ac:dyDescent="0.3">
      <c r="L768" s="18" t="s">
        <v>260</v>
      </c>
      <c r="M768" s="23" t="s">
        <v>94</v>
      </c>
    </row>
    <row r="769" spans="12:13" x14ac:dyDescent="0.3">
      <c r="L769" s="19" t="s">
        <v>766</v>
      </c>
      <c r="M769" s="24" t="s">
        <v>94</v>
      </c>
    </row>
    <row r="770" spans="12:13" x14ac:dyDescent="0.3">
      <c r="L770" s="18" t="s">
        <v>767</v>
      </c>
      <c r="M770" s="23" t="s">
        <v>94</v>
      </c>
    </row>
    <row r="771" spans="12:13" x14ac:dyDescent="0.3">
      <c r="L771" s="19" t="s">
        <v>768</v>
      </c>
      <c r="M771" s="24" t="s">
        <v>94</v>
      </c>
    </row>
    <row r="772" spans="12:13" x14ac:dyDescent="0.3">
      <c r="L772" s="18" t="s">
        <v>769</v>
      </c>
      <c r="M772" s="23" t="s">
        <v>94</v>
      </c>
    </row>
    <row r="773" spans="12:13" x14ac:dyDescent="0.3">
      <c r="L773" s="19" t="s">
        <v>770</v>
      </c>
      <c r="M773" s="24" t="s">
        <v>94</v>
      </c>
    </row>
    <row r="774" spans="12:13" x14ac:dyDescent="0.3">
      <c r="L774" s="18" t="s">
        <v>771</v>
      </c>
      <c r="M774" s="23" t="s">
        <v>94</v>
      </c>
    </row>
    <row r="775" spans="12:13" x14ac:dyDescent="0.3">
      <c r="L775" s="19" t="s">
        <v>772</v>
      </c>
      <c r="M775" s="24" t="s">
        <v>94</v>
      </c>
    </row>
    <row r="776" spans="12:13" x14ac:dyDescent="0.3">
      <c r="L776" s="18" t="s">
        <v>361</v>
      </c>
      <c r="M776" s="23" t="s">
        <v>94</v>
      </c>
    </row>
    <row r="777" spans="12:13" x14ac:dyDescent="0.3">
      <c r="L777" s="19" t="s">
        <v>773</v>
      </c>
      <c r="M777" s="24" t="s">
        <v>94</v>
      </c>
    </row>
    <row r="778" spans="12:13" x14ac:dyDescent="0.3">
      <c r="L778" s="18" t="s">
        <v>774</v>
      </c>
      <c r="M778" s="23" t="s">
        <v>94</v>
      </c>
    </row>
    <row r="779" spans="12:13" x14ac:dyDescent="0.3">
      <c r="L779" s="19" t="s">
        <v>775</v>
      </c>
      <c r="M779" s="24" t="s">
        <v>94</v>
      </c>
    </row>
    <row r="780" spans="12:13" x14ac:dyDescent="0.3">
      <c r="L780" s="18" t="s">
        <v>732</v>
      </c>
      <c r="M780" s="23" t="s">
        <v>94</v>
      </c>
    </row>
    <row r="781" spans="12:13" x14ac:dyDescent="0.3">
      <c r="L781" s="19" t="s">
        <v>638</v>
      </c>
      <c r="M781" s="24" t="s">
        <v>94</v>
      </c>
    </row>
    <row r="782" spans="12:13" x14ac:dyDescent="0.3">
      <c r="L782" s="18" t="s">
        <v>776</v>
      </c>
      <c r="M782" s="23" t="s">
        <v>94</v>
      </c>
    </row>
    <row r="783" spans="12:13" x14ac:dyDescent="0.3">
      <c r="L783" s="19" t="s">
        <v>266</v>
      </c>
      <c r="M783" s="24" t="s">
        <v>94</v>
      </c>
    </row>
    <row r="784" spans="12:13" x14ac:dyDescent="0.3">
      <c r="L784" s="18" t="s">
        <v>639</v>
      </c>
      <c r="M784" s="23" t="s">
        <v>94</v>
      </c>
    </row>
    <row r="785" spans="12:13" x14ac:dyDescent="0.3">
      <c r="L785" s="19" t="s">
        <v>777</v>
      </c>
      <c r="M785" s="24" t="s">
        <v>94</v>
      </c>
    </row>
    <row r="786" spans="12:13" x14ac:dyDescent="0.3">
      <c r="L786" s="18" t="s">
        <v>363</v>
      </c>
      <c r="M786" s="23" t="s">
        <v>94</v>
      </c>
    </row>
    <row r="787" spans="12:13" x14ac:dyDescent="0.3">
      <c r="L787" s="19" t="s">
        <v>778</v>
      </c>
      <c r="M787" s="24" t="s">
        <v>94</v>
      </c>
    </row>
    <row r="788" spans="12:13" x14ac:dyDescent="0.3">
      <c r="L788" s="18" t="s">
        <v>779</v>
      </c>
      <c r="M788" s="23" t="s">
        <v>93</v>
      </c>
    </row>
    <row r="789" spans="12:13" x14ac:dyDescent="0.3">
      <c r="L789" s="19" t="s">
        <v>422</v>
      </c>
      <c r="M789" s="24" t="s">
        <v>93</v>
      </c>
    </row>
    <row r="790" spans="12:13" x14ac:dyDescent="0.3">
      <c r="L790" s="18" t="s">
        <v>780</v>
      </c>
      <c r="M790" s="23" t="s">
        <v>93</v>
      </c>
    </row>
    <row r="791" spans="12:13" x14ac:dyDescent="0.3">
      <c r="L791" s="19" t="s">
        <v>781</v>
      </c>
      <c r="M791" s="24" t="s">
        <v>93</v>
      </c>
    </row>
    <row r="792" spans="12:13" x14ac:dyDescent="0.3">
      <c r="L792" s="18" t="s">
        <v>782</v>
      </c>
      <c r="M792" s="23" t="s">
        <v>93</v>
      </c>
    </row>
    <row r="793" spans="12:13" x14ac:dyDescent="0.3">
      <c r="L793" s="19" t="s">
        <v>312</v>
      </c>
      <c r="M793" s="24" t="s">
        <v>93</v>
      </c>
    </row>
    <row r="794" spans="12:13" x14ac:dyDescent="0.3">
      <c r="L794" s="18" t="s">
        <v>783</v>
      </c>
      <c r="M794" s="23" t="s">
        <v>93</v>
      </c>
    </row>
    <row r="795" spans="12:13" x14ac:dyDescent="0.3">
      <c r="L795" s="19" t="s">
        <v>313</v>
      </c>
      <c r="M795" s="24" t="s">
        <v>93</v>
      </c>
    </row>
    <row r="796" spans="12:13" x14ac:dyDescent="0.3">
      <c r="L796" s="18" t="s">
        <v>784</v>
      </c>
      <c r="M796" s="23" t="s">
        <v>93</v>
      </c>
    </row>
    <row r="797" spans="12:13" x14ac:dyDescent="0.3">
      <c r="L797" s="19" t="s">
        <v>785</v>
      </c>
      <c r="M797" s="24" t="s">
        <v>93</v>
      </c>
    </row>
    <row r="798" spans="12:13" x14ac:dyDescent="0.3">
      <c r="L798" s="18" t="s">
        <v>786</v>
      </c>
      <c r="M798" s="23" t="s">
        <v>93</v>
      </c>
    </row>
    <row r="799" spans="12:13" x14ac:dyDescent="0.3">
      <c r="L799" s="19" t="s">
        <v>208</v>
      </c>
      <c r="M799" s="24" t="s">
        <v>93</v>
      </c>
    </row>
    <row r="800" spans="12:13" x14ac:dyDescent="0.3">
      <c r="L800" s="18" t="s">
        <v>209</v>
      </c>
      <c r="M800" s="23" t="s">
        <v>93</v>
      </c>
    </row>
    <row r="801" spans="12:13" x14ac:dyDescent="0.3">
      <c r="L801" s="19" t="s">
        <v>315</v>
      </c>
      <c r="M801" s="24" t="s">
        <v>93</v>
      </c>
    </row>
    <row r="802" spans="12:13" x14ac:dyDescent="0.3">
      <c r="L802" s="18" t="s">
        <v>688</v>
      </c>
      <c r="M802" s="23" t="s">
        <v>93</v>
      </c>
    </row>
    <row r="803" spans="12:13" x14ac:dyDescent="0.3">
      <c r="L803" s="19" t="s">
        <v>787</v>
      </c>
      <c r="M803" s="24" t="s">
        <v>93</v>
      </c>
    </row>
    <row r="804" spans="12:13" x14ac:dyDescent="0.3">
      <c r="L804" s="18" t="s">
        <v>788</v>
      </c>
      <c r="M804" s="23" t="s">
        <v>93</v>
      </c>
    </row>
    <row r="805" spans="12:13" x14ac:dyDescent="0.3">
      <c r="L805" s="19" t="s">
        <v>211</v>
      </c>
      <c r="M805" s="24" t="s">
        <v>93</v>
      </c>
    </row>
    <row r="806" spans="12:13" x14ac:dyDescent="0.3">
      <c r="L806" s="18" t="s">
        <v>789</v>
      </c>
      <c r="M806" s="23" t="s">
        <v>93</v>
      </c>
    </row>
    <row r="807" spans="12:13" x14ac:dyDescent="0.3">
      <c r="L807" s="19" t="s">
        <v>214</v>
      </c>
      <c r="M807" s="24" t="s">
        <v>93</v>
      </c>
    </row>
    <row r="808" spans="12:13" x14ac:dyDescent="0.3">
      <c r="L808" s="18" t="s">
        <v>215</v>
      </c>
      <c r="M808" s="23" t="s">
        <v>93</v>
      </c>
    </row>
    <row r="809" spans="12:13" x14ac:dyDescent="0.3">
      <c r="L809" s="19" t="s">
        <v>560</v>
      </c>
      <c r="M809" s="24" t="s">
        <v>93</v>
      </c>
    </row>
    <row r="810" spans="12:13" x14ac:dyDescent="0.3">
      <c r="L810" s="18" t="s">
        <v>691</v>
      </c>
      <c r="M810" s="23" t="s">
        <v>93</v>
      </c>
    </row>
    <row r="811" spans="12:13" x14ac:dyDescent="0.3">
      <c r="L811" s="19" t="s">
        <v>322</v>
      </c>
      <c r="M811" s="24" t="s">
        <v>93</v>
      </c>
    </row>
    <row r="812" spans="12:13" x14ac:dyDescent="0.3">
      <c r="L812" s="18" t="s">
        <v>225</v>
      </c>
      <c r="M812" s="23" t="s">
        <v>93</v>
      </c>
    </row>
    <row r="813" spans="12:13" x14ac:dyDescent="0.3">
      <c r="L813" s="19" t="s">
        <v>790</v>
      </c>
      <c r="M813" s="24" t="s">
        <v>93</v>
      </c>
    </row>
    <row r="814" spans="12:13" x14ac:dyDescent="0.3">
      <c r="L814" s="18" t="s">
        <v>568</v>
      </c>
      <c r="M814" s="23" t="s">
        <v>93</v>
      </c>
    </row>
    <row r="815" spans="12:13" x14ac:dyDescent="0.3">
      <c r="L815" s="19" t="s">
        <v>743</v>
      </c>
      <c r="M815" s="24" t="s">
        <v>93</v>
      </c>
    </row>
    <row r="816" spans="12:13" x14ac:dyDescent="0.3">
      <c r="L816" s="18" t="s">
        <v>791</v>
      </c>
      <c r="M816" s="23" t="s">
        <v>93</v>
      </c>
    </row>
    <row r="817" spans="12:13" x14ac:dyDescent="0.3">
      <c r="L817" s="19" t="s">
        <v>792</v>
      </c>
      <c r="M817" s="24" t="s">
        <v>93</v>
      </c>
    </row>
    <row r="818" spans="12:13" x14ac:dyDescent="0.3">
      <c r="L818" s="18" t="s">
        <v>793</v>
      </c>
      <c r="M818" s="23" t="s">
        <v>93</v>
      </c>
    </row>
    <row r="819" spans="12:13" x14ac:dyDescent="0.3">
      <c r="L819" s="19" t="s">
        <v>794</v>
      </c>
      <c r="M819" s="24" t="s">
        <v>93</v>
      </c>
    </row>
    <row r="820" spans="12:13" x14ac:dyDescent="0.3">
      <c r="L820" s="18" t="s">
        <v>230</v>
      </c>
      <c r="M820" s="23" t="s">
        <v>93</v>
      </c>
    </row>
    <row r="821" spans="12:13" x14ac:dyDescent="0.3">
      <c r="L821" s="19" t="s">
        <v>579</v>
      </c>
      <c r="M821" s="24" t="s">
        <v>93</v>
      </c>
    </row>
    <row r="822" spans="12:13" x14ac:dyDescent="0.3">
      <c r="L822" s="18" t="s">
        <v>231</v>
      </c>
      <c r="M822" s="23" t="s">
        <v>93</v>
      </c>
    </row>
    <row r="823" spans="12:13" x14ac:dyDescent="0.3">
      <c r="L823" s="19" t="s">
        <v>443</v>
      </c>
      <c r="M823" s="24" t="s">
        <v>93</v>
      </c>
    </row>
    <row r="824" spans="12:13" x14ac:dyDescent="0.3">
      <c r="L824" s="18" t="s">
        <v>233</v>
      </c>
      <c r="M824" s="23" t="s">
        <v>93</v>
      </c>
    </row>
    <row r="825" spans="12:13" x14ac:dyDescent="0.3">
      <c r="L825" s="19" t="s">
        <v>700</v>
      </c>
      <c r="M825" s="24" t="s">
        <v>93</v>
      </c>
    </row>
    <row r="826" spans="12:13" x14ac:dyDescent="0.3">
      <c r="L826" s="18" t="s">
        <v>795</v>
      </c>
      <c r="M826" s="23" t="s">
        <v>93</v>
      </c>
    </row>
    <row r="827" spans="12:13" x14ac:dyDescent="0.3">
      <c r="L827" s="19" t="s">
        <v>507</v>
      </c>
      <c r="M827" s="24" t="s">
        <v>93</v>
      </c>
    </row>
    <row r="828" spans="12:13" x14ac:dyDescent="0.3">
      <c r="L828" s="18" t="s">
        <v>589</v>
      </c>
      <c r="M828" s="23" t="s">
        <v>93</v>
      </c>
    </row>
    <row r="829" spans="12:13" x14ac:dyDescent="0.3">
      <c r="L829" s="19" t="s">
        <v>701</v>
      </c>
      <c r="M829" s="24" t="s">
        <v>93</v>
      </c>
    </row>
    <row r="830" spans="12:13" x14ac:dyDescent="0.3">
      <c r="L830" s="18" t="s">
        <v>748</v>
      </c>
      <c r="M830" s="23" t="s">
        <v>93</v>
      </c>
    </row>
    <row r="831" spans="12:13" x14ac:dyDescent="0.3">
      <c r="L831" s="19" t="s">
        <v>235</v>
      </c>
      <c r="M831" s="24" t="s">
        <v>93</v>
      </c>
    </row>
    <row r="832" spans="12:13" x14ac:dyDescent="0.3">
      <c r="L832" s="18" t="s">
        <v>333</v>
      </c>
      <c r="M832" s="23" t="s">
        <v>93</v>
      </c>
    </row>
    <row r="833" spans="12:13" x14ac:dyDescent="0.3">
      <c r="L833" s="19" t="s">
        <v>377</v>
      </c>
      <c r="M833" s="24" t="s">
        <v>93</v>
      </c>
    </row>
    <row r="834" spans="12:13" x14ac:dyDescent="0.3">
      <c r="L834" s="18" t="s">
        <v>796</v>
      </c>
      <c r="M834" s="23" t="s">
        <v>93</v>
      </c>
    </row>
    <row r="835" spans="12:13" x14ac:dyDescent="0.3">
      <c r="L835" s="19" t="s">
        <v>797</v>
      </c>
      <c r="M835" s="24" t="s">
        <v>93</v>
      </c>
    </row>
    <row r="836" spans="12:13" x14ac:dyDescent="0.3">
      <c r="L836" s="18" t="s">
        <v>237</v>
      </c>
      <c r="M836" s="23" t="s">
        <v>93</v>
      </c>
    </row>
    <row r="837" spans="12:13" x14ac:dyDescent="0.3">
      <c r="L837" s="19" t="s">
        <v>595</v>
      </c>
      <c r="M837" s="24" t="s">
        <v>93</v>
      </c>
    </row>
    <row r="838" spans="12:13" x14ac:dyDescent="0.3">
      <c r="L838" s="18" t="s">
        <v>238</v>
      </c>
      <c r="M838" s="23" t="s">
        <v>93</v>
      </c>
    </row>
    <row r="839" spans="12:13" x14ac:dyDescent="0.3">
      <c r="L839" s="19" t="s">
        <v>336</v>
      </c>
      <c r="M839" s="24" t="s">
        <v>93</v>
      </c>
    </row>
    <row r="840" spans="12:13" x14ac:dyDescent="0.3">
      <c r="L840" s="18" t="s">
        <v>598</v>
      </c>
      <c r="M840" s="23" t="s">
        <v>93</v>
      </c>
    </row>
    <row r="841" spans="12:13" x14ac:dyDescent="0.3">
      <c r="L841" s="19" t="s">
        <v>798</v>
      </c>
      <c r="M841" s="24" t="s">
        <v>93</v>
      </c>
    </row>
    <row r="842" spans="12:13" x14ac:dyDescent="0.3">
      <c r="L842" s="18" t="s">
        <v>799</v>
      </c>
      <c r="M842" s="23" t="s">
        <v>93</v>
      </c>
    </row>
    <row r="843" spans="12:13" x14ac:dyDescent="0.3">
      <c r="L843" s="19" t="s">
        <v>242</v>
      </c>
      <c r="M843" s="24" t="s">
        <v>93</v>
      </c>
    </row>
    <row r="844" spans="12:13" x14ac:dyDescent="0.3">
      <c r="L844" s="18" t="s">
        <v>800</v>
      </c>
      <c r="M844" s="23" t="s">
        <v>93</v>
      </c>
    </row>
    <row r="845" spans="12:13" x14ac:dyDescent="0.3">
      <c r="L845" s="19" t="s">
        <v>801</v>
      </c>
      <c r="M845" s="24" t="s">
        <v>93</v>
      </c>
    </row>
    <row r="846" spans="12:13" x14ac:dyDescent="0.3">
      <c r="L846" s="18" t="s">
        <v>802</v>
      </c>
      <c r="M846" s="23" t="s">
        <v>93</v>
      </c>
    </row>
    <row r="847" spans="12:13" x14ac:dyDescent="0.3">
      <c r="L847" s="19" t="s">
        <v>803</v>
      </c>
      <c r="M847" s="24" t="s">
        <v>93</v>
      </c>
    </row>
    <row r="848" spans="12:13" x14ac:dyDescent="0.3">
      <c r="L848" s="18" t="s">
        <v>246</v>
      </c>
      <c r="M848" s="23" t="s">
        <v>93</v>
      </c>
    </row>
    <row r="849" spans="12:13" x14ac:dyDescent="0.3">
      <c r="L849" s="19" t="s">
        <v>804</v>
      </c>
      <c r="M849" s="24" t="s">
        <v>93</v>
      </c>
    </row>
    <row r="850" spans="12:13" x14ac:dyDescent="0.3">
      <c r="L850" s="18" t="s">
        <v>248</v>
      </c>
      <c r="M850" s="23" t="s">
        <v>93</v>
      </c>
    </row>
    <row r="851" spans="12:13" x14ac:dyDescent="0.3">
      <c r="L851" s="19" t="s">
        <v>249</v>
      </c>
      <c r="M851" s="24" t="s">
        <v>93</v>
      </c>
    </row>
    <row r="852" spans="12:13" x14ac:dyDescent="0.3">
      <c r="L852" s="18" t="s">
        <v>805</v>
      </c>
      <c r="M852" s="23" t="s">
        <v>93</v>
      </c>
    </row>
    <row r="853" spans="12:13" x14ac:dyDescent="0.3">
      <c r="L853" s="19" t="s">
        <v>606</v>
      </c>
      <c r="M853" s="24" t="s">
        <v>93</v>
      </c>
    </row>
    <row r="854" spans="12:13" x14ac:dyDescent="0.3">
      <c r="L854" s="18" t="s">
        <v>806</v>
      </c>
      <c r="M854" s="23" t="s">
        <v>93</v>
      </c>
    </row>
    <row r="855" spans="12:13" x14ac:dyDescent="0.3">
      <c r="L855" s="19" t="s">
        <v>251</v>
      </c>
      <c r="M855" s="24" t="s">
        <v>93</v>
      </c>
    </row>
    <row r="856" spans="12:13" x14ac:dyDescent="0.3">
      <c r="L856" s="18" t="s">
        <v>252</v>
      </c>
      <c r="M856" s="23" t="s">
        <v>93</v>
      </c>
    </row>
    <row r="857" spans="12:13" x14ac:dyDescent="0.3">
      <c r="L857" s="19" t="s">
        <v>807</v>
      </c>
      <c r="M857" s="24" t="s">
        <v>93</v>
      </c>
    </row>
    <row r="858" spans="12:13" x14ac:dyDescent="0.3">
      <c r="L858" s="18" t="s">
        <v>808</v>
      </c>
      <c r="M858" s="23" t="s">
        <v>93</v>
      </c>
    </row>
    <row r="859" spans="12:13" x14ac:dyDescent="0.3">
      <c r="L859" s="19" t="s">
        <v>523</v>
      </c>
      <c r="M859" s="24" t="s">
        <v>93</v>
      </c>
    </row>
    <row r="860" spans="12:13" x14ac:dyDescent="0.3">
      <c r="L860" s="18" t="s">
        <v>809</v>
      </c>
      <c r="M860" s="23" t="s">
        <v>93</v>
      </c>
    </row>
    <row r="861" spans="12:13" x14ac:dyDescent="0.3">
      <c r="L861" s="19" t="s">
        <v>810</v>
      </c>
      <c r="M861" s="24" t="s">
        <v>93</v>
      </c>
    </row>
    <row r="862" spans="12:13" x14ac:dyDescent="0.3">
      <c r="L862" s="18" t="s">
        <v>811</v>
      </c>
      <c r="M862" s="23" t="s">
        <v>93</v>
      </c>
    </row>
    <row r="863" spans="12:13" x14ac:dyDescent="0.3">
      <c r="L863" s="19" t="s">
        <v>812</v>
      </c>
      <c r="M863" s="24" t="s">
        <v>93</v>
      </c>
    </row>
    <row r="864" spans="12:13" x14ac:dyDescent="0.3">
      <c r="L864" s="18" t="s">
        <v>349</v>
      </c>
      <c r="M864" s="23" t="s">
        <v>93</v>
      </c>
    </row>
    <row r="865" spans="12:13" x14ac:dyDescent="0.3">
      <c r="L865" s="19" t="s">
        <v>813</v>
      </c>
      <c r="M865" s="24" t="s">
        <v>93</v>
      </c>
    </row>
    <row r="866" spans="12:13" x14ac:dyDescent="0.3">
      <c r="L866" s="18" t="s">
        <v>814</v>
      </c>
      <c r="M866" s="23" t="s">
        <v>93</v>
      </c>
    </row>
    <row r="867" spans="12:13" x14ac:dyDescent="0.3">
      <c r="L867" s="19" t="s">
        <v>815</v>
      </c>
      <c r="M867" s="24" t="s">
        <v>93</v>
      </c>
    </row>
    <row r="868" spans="12:13" x14ac:dyDescent="0.3">
      <c r="L868" s="18" t="s">
        <v>816</v>
      </c>
      <c r="M868" s="23" t="s">
        <v>93</v>
      </c>
    </row>
    <row r="869" spans="12:13" x14ac:dyDescent="0.3">
      <c r="L869" s="19" t="s">
        <v>355</v>
      </c>
      <c r="M869" s="24" t="s">
        <v>93</v>
      </c>
    </row>
    <row r="870" spans="12:13" x14ac:dyDescent="0.3">
      <c r="L870" s="18" t="s">
        <v>260</v>
      </c>
      <c r="M870" s="23" t="s">
        <v>93</v>
      </c>
    </row>
    <row r="871" spans="12:13" x14ac:dyDescent="0.3">
      <c r="L871" s="19" t="s">
        <v>817</v>
      </c>
      <c r="M871" s="24" t="s">
        <v>93</v>
      </c>
    </row>
    <row r="872" spans="12:13" x14ac:dyDescent="0.3">
      <c r="L872" s="18" t="s">
        <v>818</v>
      </c>
      <c r="M872" s="23" t="s">
        <v>93</v>
      </c>
    </row>
    <row r="873" spans="12:13" x14ac:dyDescent="0.3">
      <c r="L873" s="19" t="s">
        <v>819</v>
      </c>
      <c r="M873" s="24" t="s">
        <v>93</v>
      </c>
    </row>
    <row r="874" spans="12:13" x14ac:dyDescent="0.3">
      <c r="L874" s="18" t="s">
        <v>534</v>
      </c>
      <c r="M874" s="23" t="s">
        <v>93</v>
      </c>
    </row>
    <row r="875" spans="12:13" x14ac:dyDescent="0.3">
      <c r="L875" s="19" t="s">
        <v>361</v>
      </c>
      <c r="M875" s="24" t="s">
        <v>93</v>
      </c>
    </row>
    <row r="876" spans="12:13" x14ac:dyDescent="0.3">
      <c r="L876" s="18" t="s">
        <v>362</v>
      </c>
      <c r="M876" s="23" t="s">
        <v>93</v>
      </c>
    </row>
    <row r="877" spans="12:13" x14ac:dyDescent="0.3">
      <c r="L877" s="19" t="s">
        <v>820</v>
      </c>
      <c r="M877" s="24" t="s">
        <v>93</v>
      </c>
    </row>
    <row r="878" spans="12:13" x14ac:dyDescent="0.3">
      <c r="L878" s="18" t="s">
        <v>638</v>
      </c>
      <c r="M878" s="23" t="s">
        <v>93</v>
      </c>
    </row>
    <row r="879" spans="12:13" x14ac:dyDescent="0.3">
      <c r="L879" s="19" t="s">
        <v>266</v>
      </c>
      <c r="M879" s="24" t="s">
        <v>93</v>
      </c>
    </row>
    <row r="880" spans="12:13" x14ac:dyDescent="0.3">
      <c r="L880" s="18" t="s">
        <v>639</v>
      </c>
      <c r="M880" s="23" t="s">
        <v>93</v>
      </c>
    </row>
    <row r="881" spans="12:13" x14ac:dyDescent="0.3">
      <c r="L881" s="19" t="s">
        <v>640</v>
      </c>
      <c r="M881" s="24" t="s">
        <v>93</v>
      </c>
    </row>
    <row r="882" spans="12:13" x14ac:dyDescent="0.3">
      <c r="L882" s="18" t="s">
        <v>736</v>
      </c>
      <c r="M882" s="23" t="s">
        <v>93</v>
      </c>
    </row>
    <row r="883" spans="12:13" x14ac:dyDescent="0.3">
      <c r="L883" s="19" t="s">
        <v>821</v>
      </c>
      <c r="M883" s="24" t="s">
        <v>93</v>
      </c>
    </row>
    <row r="884" spans="12:13" x14ac:dyDescent="0.3">
      <c r="L884" s="18" t="s">
        <v>822</v>
      </c>
      <c r="M884" s="23" t="s">
        <v>93</v>
      </c>
    </row>
    <row r="885" spans="12:13" x14ac:dyDescent="0.3">
      <c r="L885" s="19" t="s">
        <v>645</v>
      </c>
      <c r="M885" s="24" t="s">
        <v>93</v>
      </c>
    </row>
    <row r="886" spans="12:13" x14ac:dyDescent="0.3">
      <c r="L886" s="18" t="s">
        <v>823</v>
      </c>
      <c r="M886" s="23" t="s">
        <v>93</v>
      </c>
    </row>
    <row r="887" spans="12:13" x14ac:dyDescent="0.3">
      <c r="L887" s="19" t="s">
        <v>738</v>
      </c>
      <c r="M887" s="24" t="s">
        <v>92</v>
      </c>
    </row>
    <row r="888" spans="12:13" x14ac:dyDescent="0.3">
      <c r="L888" s="18" t="s">
        <v>824</v>
      </c>
      <c r="M888" s="23" t="s">
        <v>92</v>
      </c>
    </row>
    <row r="889" spans="12:13" x14ac:dyDescent="0.3">
      <c r="L889" s="19" t="s">
        <v>825</v>
      </c>
      <c r="M889" s="24" t="s">
        <v>92</v>
      </c>
    </row>
    <row r="890" spans="12:13" x14ac:dyDescent="0.3">
      <c r="L890" s="18" t="s">
        <v>826</v>
      </c>
      <c r="M890" s="23" t="s">
        <v>92</v>
      </c>
    </row>
    <row r="891" spans="12:13" x14ac:dyDescent="0.3">
      <c r="L891" s="19" t="s">
        <v>827</v>
      </c>
      <c r="M891" s="24" t="s">
        <v>92</v>
      </c>
    </row>
    <row r="892" spans="12:13" x14ac:dyDescent="0.3">
      <c r="L892" s="18" t="s">
        <v>828</v>
      </c>
      <c r="M892" s="23" t="s">
        <v>92</v>
      </c>
    </row>
    <row r="893" spans="12:13" x14ac:dyDescent="0.3">
      <c r="L893" s="19" t="s">
        <v>686</v>
      </c>
      <c r="M893" s="24" t="s">
        <v>92</v>
      </c>
    </row>
    <row r="894" spans="12:13" x14ac:dyDescent="0.3">
      <c r="L894" s="18" t="s">
        <v>208</v>
      </c>
      <c r="M894" s="23" t="s">
        <v>92</v>
      </c>
    </row>
    <row r="895" spans="12:13" x14ac:dyDescent="0.3">
      <c r="L895" s="19" t="s">
        <v>829</v>
      </c>
      <c r="M895" s="24" t="s">
        <v>92</v>
      </c>
    </row>
    <row r="896" spans="12:13" x14ac:dyDescent="0.3">
      <c r="L896" s="18" t="s">
        <v>830</v>
      </c>
      <c r="M896" s="23" t="s">
        <v>92</v>
      </c>
    </row>
    <row r="897" spans="12:13" x14ac:dyDescent="0.3">
      <c r="L897" s="19" t="s">
        <v>211</v>
      </c>
      <c r="M897" s="24" t="s">
        <v>92</v>
      </c>
    </row>
    <row r="898" spans="12:13" x14ac:dyDescent="0.3">
      <c r="L898" s="18" t="s">
        <v>430</v>
      </c>
      <c r="M898" s="23" t="s">
        <v>92</v>
      </c>
    </row>
    <row r="899" spans="12:13" x14ac:dyDescent="0.3">
      <c r="L899" s="19" t="s">
        <v>317</v>
      </c>
      <c r="M899" s="24" t="s">
        <v>92</v>
      </c>
    </row>
    <row r="900" spans="12:13" x14ac:dyDescent="0.3">
      <c r="L900" s="18" t="s">
        <v>215</v>
      </c>
      <c r="M900" s="23" t="s">
        <v>92</v>
      </c>
    </row>
    <row r="901" spans="12:13" x14ac:dyDescent="0.3">
      <c r="L901" s="19" t="s">
        <v>831</v>
      </c>
      <c r="M901" s="24" t="s">
        <v>92</v>
      </c>
    </row>
    <row r="902" spans="12:13" x14ac:dyDescent="0.3">
      <c r="L902" s="18" t="s">
        <v>832</v>
      </c>
      <c r="M902" s="23" t="s">
        <v>92</v>
      </c>
    </row>
    <row r="903" spans="12:13" x14ac:dyDescent="0.3">
      <c r="L903" s="19" t="s">
        <v>833</v>
      </c>
      <c r="M903" s="24" t="s">
        <v>92</v>
      </c>
    </row>
    <row r="904" spans="12:13" x14ac:dyDescent="0.3">
      <c r="L904" s="18" t="s">
        <v>834</v>
      </c>
      <c r="M904" s="23" t="s">
        <v>92</v>
      </c>
    </row>
    <row r="905" spans="12:13" x14ac:dyDescent="0.3">
      <c r="L905" s="19" t="s">
        <v>322</v>
      </c>
      <c r="M905" s="24" t="s">
        <v>92</v>
      </c>
    </row>
    <row r="906" spans="12:13" x14ac:dyDescent="0.3">
      <c r="L906" s="18" t="s">
        <v>568</v>
      </c>
      <c r="M906" s="23" t="s">
        <v>92</v>
      </c>
    </row>
    <row r="907" spans="12:13" x14ac:dyDescent="0.3">
      <c r="L907" s="19" t="s">
        <v>792</v>
      </c>
      <c r="M907" s="24" t="s">
        <v>92</v>
      </c>
    </row>
    <row r="908" spans="12:13" x14ac:dyDescent="0.3">
      <c r="L908" s="18" t="s">
        <v>835</v>
      </c>
      <c r="M908" s="23" t="s">
        <v>92</v>
      </c>
    </row>
    <row r="909" spans="12:13" x14ac:dyDescent="0.3">
      <c r="L909" s="19" t="s">
        <v>439</v>
      </c>
      <c r="M909" s="24" t="s">
        <v>92</v>
      </c>
    </row>
    <row r="910" spans="12:13" x14ac:dyDescent="0.3">
      <c r="L910" s="18" t="s">
        <v>697</v>
      </c>
      <c r="M910" s="23" t="s">
        <v>92</v>
      </c>
    </row>
    <row r="911" spans="12:13" x14ac:dyDescent="0.3">
      <c r="L911" s="19" t="s">
        <v>836</v>
      </c>
      <c r="M911" s="24" t="s">
        <v>92</v>
      </c>
    </row>
    <row r="912" spans="12:13" x14ac:dyDescent="0.3">
      <c r="L912" s="18" t="s">
        <v>837</v>
      </c>
      <c r="M912" s="23" t="s">
        <v>92</v>
      </c>
    </row>
    <row r="913" spans="12:13" x14ac:dyDescent="0.3">
      <c r="L913" s="19" t="s">
        <v>838</v>
      </c>
      <c r="M913" s="24" t="s">
        <v>92</v>
      </c>
    </row>
    <row r="914" spans="12:13" x14ac:dyDescent="0.3">
      <c r="L914" s="18" t="s">
        <v>839</v>
      </c>
      <c r="M914" s="23" t="s">
        <v>92</v>
      </c>
    </row>
    <row r="915" spans="12:13" x14ac:dyDescent="0.3">
      <c r="L915" s="19" t="s">
        <v>698</v>
      </c>
      <c r="M915" s="24" t="s">
        <v>92</v>
      </c>
    </row>
    <row r="916" spans="12:13" x14ac:dyDescent="0.3">
      <c r="L916" s="18" t="s">
        <v>231</v>
      </c>
      <c r="M916" s="23" t="s">
        <v>92</v>
      </c>
    </row>
    <row r="917" spans="12:13" x14ac:dyDescent="0.3">
      <c r="L917" s="19" t="s">
        <v>840</v>
      </c>
      <c r="M917" s="24" t="s">
        <v>92</v>
      </c>
    </row>
    <row r="918" spans="12:13" x14ac:dyDescent="0.3">
      <c r="L918" s="18" t="s">
        <v>841</v>
      </c>
      <c r="M918" s="23" t="s">
        <v>92</v>
      </c>
    </row>
    <row r="919" spans="12:13" x14ac:dyDescent="0.3">
      <c r="L919" s="19" t="s">
        <v>298</v>
      </c>
      <c r="M919" s="24" t="s">
        <v>92</v>
      </c>
    </row>
    <row r="920" spans="12:13" x14ac:dyDescent="0.3">
      <c r="L920" s="18" t="s">
        <v>330</v>
      </c>
      <c r="M920" s="23" t="s">
        <v>92</v>
      </c>
    </row>
    <row r="921" spans="12:13" x14ac:dyDescent="0.3">
      <c r="L921" s="19" t="s">
        <v>842</v>
      </c>
      <c r="M921" s="24" t="s">
        <v>92</v>
      </c>
    </row>
    <row r="922" spans="12:13" x14ac:dyDescent="0.3">
      <c r="L922" s="18" t="s">
        <v>843</v>
      </c>
      <c r="M922" s="23" t="s">
        <v>92</v>
      </c>
    </row>
    <row r="923" spans="12:13" x14ac:dyDescent="0.3">
      <c r="L923" s="19" t="s">
        <v>844</v>
      </c>
      <c r="M923" s="24" t="s">
        <v>92</v>
      </c>
    </row>
    <row r="924" spans="12:13" x14ac:dyDescent="0.3">
      <c r="L924" s="18" t="s">
        <v>507</v>
      </c>
      <c r="M924" s="23" t="s">
        <v>92</v>
      </c>
    </row>
    <row r="925" spans="12:13" x14ac:dyDescent="0.3">
      <c r="L925" s="19" t="s">
        <v>845</v>
      </c>
      <c r="M925" s="24" t="s">
        <v>92</v>
      </c>
    </row>
    <row r="926" spans="12:13" x14ac:dyDescent="0.3">
      <c r="L926" s="18" t="s">
        <v>846</v>
      </c>
      <c r="M926" s="23" t="s">
        <v>92</v>
      </c>
    </row>
    <row r="927" spans="12:13" x14ac:dyDescent="0.3">
      <c r="L927" s="19" t="s">
        <v>847</v>
      </c>
      <c r="M927" s="24" t="s">
        <v>92</v>
      </c>
    </row>
    <row r="928" spans="12:13" x14ac:dyDescent="0.3">
      <c r="L928" s="18" t="s">
        <v>848</v>
      </c>
      <c r="M928" s="23" t="s">
        <v>92</v>
      </c>
    </row>
    <row r="929" spans="12:13" x14ac:dyDescent="0.3">
      <c r="L929" s="19" t="s">
        <v>237</v>
      </c>
      <c r="M929" s="24" t="s">
        <v>92</v>
      </c>
    </row>
    <row r="930" spans="12:13" x14ac:dyDescent="0.3">
      <c r="L930" s="18" t="s">
        <v>238</v>
      </c>
      <c r="M930" s="23" t="s">
        <v>92</v>
      </c>
    </row>
    <row r="931" spans="12:13" x14ac:dyDescent="0.3">
      <c r="L931" s="19" t="s">
        <v>849</v>
      </c>
      <c r="M931" s="24" t="s">
        <v>92</v>
      </c>
    </row>
    <row r="932" spans="12:13" x14ac:dyDescent="0.3">
      <c r="L932" s="18" t="s">
        <v>336</v>
      </c>
      <c r="M932" s="23" t="s">
        <v>92</v>
      </c>
    </row>
    <row r="933" spans="12:13" x14ac:dyDescent="0.3">
      <c r="L933" s="19" t="s">
        <v>850</v>
      </c>
      <c r="M933" s="24" t="s">
        <v>92</v>
      </c>
    </row>
    <row r="934" spans="12:13" x14ac:dyDescent="0.3">
      <c r="L934" s="18" t="s">
        <v>851</v>
      </c>
      <c r="M934" s="23" t="s">
        <v>92</v>
      </c>
    </row>
    <row r="935" spans="12:13" x14ac:dyDescent="0.3">
      <c r="L935" s="19" t="s">
        <v>450</v>
      </c>
      <c r="M935" s="24" t="s">
        <v>92</v>
      </c>
    </row>
    <row r="936" spans="12:13" x14ac:dyDescent="0.3">
      <c r="L936" s="18" t="s">
        <v>852</v>
      </c>
      <c r="M936" s="23" t="s">
        <v>92</v>
      </c>
    </row>
    <row r="937" spans="12:13" x14ac:dyDescent="0.3">
      <c r="L937" s="19" t="s">
        <v>853</v>
      </c>
      <c r="M937" s="24" t="s">
        <v>92</v>
      </c>
    </row>
    <row r="938" spans="12:13" x14ac:dyDescent="0.3">
      <c r="L938" s="18" t="s">
        <v>854</v>
      </c>
      <c r="M938" s="23" t="s">
        <v>92</v>
      </c>
    </row>
    <row r="939" spans="12:13" x14ac:dyDescent="0.3">
      <c r="L939" s="19" t="s">
        <v>338</v>
      </c>
      <c r="M939" s="24" t="s">
        <v>92</v>
      </c>
    </row>
    <row r="940" spans="12:13" x14ac:dyDescent="0.3">
      <c r="L940" s="18" t="s">
        <v>800</v>
      </c>
      <c r="M940" s="23" t="s">
        <v>92</v>
      </c>
    </row>
    <row r="941" spans="12:13" x14ac:dyDescent="0.3">
      <c r="L941" s="19" t="s">
        <v>340</v>
      </c>
      <c r="M941" s="24" t="s">
        <v>92</v>
      </c>
    </row>
    <row r="942" spans="12:13" x14ac:dyDescent="0.3">
      <c r="L942" s="18" t="s">
        <v>803</v>
      </c>
      <c r="M942" s="23" t="s">
        <v>92</v>
      </c>
    </row>
    <row r="943" spans="12:13" x14ac:dyDescent="0.3">
      <c r="L943" s="19" t="s">
        <v>855</v>
      </c>
      <c r="M943" s="24" t="s">
        <v>92</v>
      </c>
    </row>
    <row r="944" spans="12:13" x14ac:dyDescent="0.3">
      <c r="L944" s="18" t="s">
        <v>248</v>
      </c>
      <c r="M944" s="23" t="s">
        <v>92</v>
      </c>
    </row>
    <row r="945" spans="12:13" x14ac:dyDescent="0.3">
      <c r="L945" s="19" t="s">
        <v>249</v>
      </c>
      <c r="M945" s="24" t="s">
        <v>92</v>
      </c>
    </row>
    <row r="946" spans="12:13" x14ac:dyDescent="0.3">
      <c r="L946" s="18" t="s">
        <v>856</v>
      </c>
      <c r="M946" s="23" t="s">
        <v>92</v>
      </c>
    </row>
    <row r="947" spans="12:13" x14ac:dyDescent="0.3">
      <c r="L947" s="19" t="s">
        <v>756</v>
      </c>
      <c r="M947" s="24" t="s">
        <v>92</v>
      </c>
    </row>
    <row r="948" spans="12:13" x14ac:dyDescent="0.3">
      <c r="L948" s="18" t="s">
        <v>606</v>
      </c>
      <c r="M948" s="23" t="s">
        <v>92</v>
      </c>
    </row>
    <row r="949" spans="12:13" x14ac:dyDescent="0.3">
      <c r="L949" s="19" t="s">
        <v>252</v>
      </c>
      <c r="M949" s="24" t="s">
        <v>92</v>
      </c>
    </row>
    <row r="950" spans="12:13" x14ac:dyDescent="0.3">
      <c r="L950" s="18" t="s">
        <v>857</v>
      </c>
      <c r="M950" s="23" t="s">
        <v>92</v>
      </c>
    </row>
    <row r="951" spans="12:13" x14ac:dyDescent="0.3">
      <c r="L951" s="19" t="s">
        <v>858</v>
      </c>
      <c r="M951" s="24" t="s">
        <v>92</v>
      </c>
    </row>
    <row r="952" spans="12:13" x14ac:dyDescent="0.3">
      <c r="L952" s="18" t="s">
        <v>859</v>
      </c>
      <c r="M952" s="23" t="s">
        <v>92</v>
      </c>
    </row>
    <row r="953" spans="12:13" x14ac:dyDescent="0.3">
      <c r="L953" s="19" t="s">
        <v>860</v>
      </c>
      <c r="M953" s="24" t="s">
        <v>92</v>
      </c>
    </row>
    <row r="954" spans="12:13" x14ac:dyDescent="0.3">
      <c r="L954" s="18" t="s">
        <v>861</v>
      </c>
      <c r="M954" s="23" t="s">
        <v>92</v>
      </c>
    </row>
    <row r="955" spans="12:13" x14ac:dyDescent="0.3">
      <c r="L955" s="19" t="s">
        <v>862</v>
      </c>
      <c r="M955" s="24" t="s">
        <v>92</v>
      </c>
    </row>
    <row r="956" spans="12:13" x14ac:dyDescent="0.3">
      <c r="L956" s="18" t="s">
        <v>863</v>
      </c>
      <c r="M956" s="23" t="s">
        <v>92</v>
      </c>
    </row>
    <row r="957" spans="12:13" x14ac:dyDescent="0.3">
      <c r="L957" s="19" t="s">
        <v>864</v>
      </c>
      <c r="M957" s="24" t="s">
        <v>92</v>
      </c>
    </row>
    <row r="958" spans="12:13" x14ac:dyDescent="0.3">
      <c r="L958" s="18" t="s">
        <v>865</v>
      </c>
      <c r="M958" s="23" t="s">
        <v>92</v>
      </c>
    </row>
    <row r="959" spans="12:13" x14ac:dyDescent="0.3">
      <c r="L959" s="19" t="s">
        <v>866</v>
      </c>
      <c r="M959" s="24" t="s">
        <v>92</v>
      </c>
    </row>
    <row r="960" spans="12:13" x14ac:dyDescent="0.3">
      <c r="L960" s="18" t="s">
        <v>347</v>
      </c>
      <c r="M960" s="23" t="s">
        <v>92</v>
      </c>
    </row>
    <row r="961" spans="12:13" x14ac:dyDescent="0.3">
      <c r="L961" s="19" t="s">
        <v>867</v>
      </c>
      <c r="M961" s="24" t="s">
        <v>92</v>
      </c>
    </row>
    <row r="962" spans="12:13" x14ac:dyDescent="0.3">
      <c r="L962" s="18" t="s">
        <v>868</v>
      </c>
      <c r="M962" s="23" t="s">
        <v>92</v>
      </c>
    </row>
    <row r="963" spans="12:13" x14ac:dyDescent="0.3">
      <c r="L963" s="19" t="s">
        <v>869</v>
      </c>
      <c r="M963" s="24" t="s">
        <v>92</v>
      </c>
    </row>
    <row r="964" spans="12:13" x14ac:dyDescent="0.3">
      <c r="L964" s="18" t="s">
        <v>870</v>
      </c>
      <c r="M964" s="23" t="s">
        <v>92</v>
      </c>
    </row>
    <row r="965" spans="12:13" x14ac:dyDescent="0.3">
      <c r="L965" s="19" t="s">
        <v>871</v>
      </c>
      <c r="M965" s="24" t="s">
        <v>92</v>
      </c>
    </row>
    <row r="966" spans="12:13" x14ac:dyDescent="0.3">
      <c r="L966" s="18" t="s">
        <v>872</v>
      </c>
      <c r="M966" s="23" t="s">
        <v>92</v>
      </c>
    </row>
    <row r="967" spans="12:13" x14ac:dyDescent="0.3">
      <c r="L967" s="19" t="s">
        <v>873</v>
      </c>
      <c r="M967" s="24" t="s">
        <v>92</v>
      </c>
    </row>
    <row r="968" spans="12:13" x14ac:dyDescent="0.3">
      <c r="L968" s="18" t="s">
        <v>874</v>
      </c>
      <c r="M968" s="23" t="s">
        <v>92</v>
      </c>
    </row>
    <row r="969" spans="12:13" x14ac:dyDescent="0.3">
      <c r="L969" s="19" t="s">
        <v>764</v>
      </c>
      <c r="M969" s="24" t="s">
        <v>92</v>
      </c>
    </row>
    <row r="970" spans="12:13" x14ac:dyDescent="0.3">
      <c r="L970" s="18" t="s">
        <v>258</v>
      </c>
      <c r="M970" s="23" t="s">
        <v>92</v>
      </c>
    </row>
    <row r="971" spans="12:13" x14ac:dyDescent="0.3">
      <c r="L971" s="19" t="s">
        <v>354</v>
      </c>
      <c r="M971" s="24" t="s">
        <v>92</v>
      </c>
    </row>
    <row r="972" spans="12:13" x14ac:dyDescent="0.3">
      <c r="L972" s="18" t="s">
        <v>355</v>
      </c>
      <c r="M972" s="23" t="s">
        <v>92</v>
      </c>
    </row>
    <row r="973" spans="12:13" x14ac:dyDescent="0.3">
      <c r="L973" s="19" t="s">
        <v>472</v>
      </c>
      <c r="M973" s="24" t="s">
        <v>92</v>
      </c>
    </row>
    <row r="974" spans="12:13" x14ac:dyDescent="0.3">
      <c r="L974" s="18" t="s">
        <v>875</v>
      </c>
      <c r="M974" s="23" t="s">
        <v>92</v>
      </c>
    </row>
    <row r="975" spans="12:13" x14ac:dyDescent="0.3">
      <c r="L975" s="19" t="s">
        <v>876</v>
      </c>
      <c r="M975" s="24" t="s">
        <v>92</v>
      </c>
    </row>
    <row r="976" spans="12:13" x14ac:dyDescent="0.3">
      <c r="L976" s="18" t="s">
        <v>877</v>
      </c>
      <c r="M976" s="23" t="s">
        <v>92</v>
      </c>
    </row>
    <row r="977" spans="12:13" x14ac:dyDescent="0.3">
      <c r="L977" s="19" t="s">
        <v>878</v>
      </c>
      <c r="M977" s="24" t="s">
        <v>92</v>
      </c>
    </row>
    <row r="978" spans="12:13" x14ac:dyDescent="0.3">
      <c r="L978" s="18" t="s">
        <v>879</v>
      </c>
      <c r="M978" s="23" t="s">
        <v>92</v>
      </c>
    </row>
    <row r="979" spans="12:13" x14ac:dyDescent="0.3">
      <c r="L979" s="19" t="s">
        <v>880</v>
      </c>
      <c r="M979" s="24" t="s">
        <v>92</v>
      </c>
    </row>
    <row r="980" spans="12:13" x14ac:dyDescent="0.3">
      <c r="L980" s="18" t="s">
        <v>881</v>
      </c>
      <c r="M980" s="23" t="s">
        <v>92</v>
      </c>
    </row>
    <row r="981" spans="12:13" x14ac:dyDescent="0.3">
      <c r="L981" s="19" t="s">
        <v>882</v>
      </c>
      <c r="M981" s="24" t="s">
        <v>92</v>
      </c>
    </row>
    <row r="982" spans="12:13" x14ac:dyDescent="0.3">
      <c r="L982" s="18" t="s">
        <v>883</v>
      </c>
      <c r="M982" s="23" t="s">
        <v>92</v>
      </c>
    </row>
    <row r="983" spans="12:13" x14ac:dyDescent="0.3">
      <c r="L983" s="19" t="s">
        <v>628</v>
      </c>
      <c r="M983" s="24" t="s">
        <v>92</v>
      </c>
    </row>
    <row r="984" spans="12:13" x14ac:dyDescent="0.3">
      <c r="L984" s="18" t="s">
        <v>884</v>
      </c>
      <c r="M984" s="23" t="s">
        <v>92</v>
      </c>
    </row>
    <row r="985" spans="12:13" x14ac:dyDescent="0.3">
      <c r="L985" s="19" t="s">
        <v>885</v>
      </c>
      <c r="M985" s="24" t="s">
        <v>92</v>
      </c>
    </row>
    <row r="986" spans="12:13" x14ac:dyDescent="0.3">
      <c r="L986" s="18" t="s">
        <v>886</v>
      </c>
      <c r="M986" s="23" t="s">
        <v>92</v>
      </c>
    </row>
    <row r="987" spans="12:13" x14ac:dyDescent="0.3">
      <c r="L987" s="19" t="s">
        <v>266</v>
      </c>
      <c r="M987" s="24" t="s">
        <v>92</v>
      </c>
    </row>
    <row r="988" spans="12:13" x14ac:dyDescent="0.3">
      <c r="L988" s="18" t="s">
        <v>887</v>
      </c>
      <c r="M988" s="23" t="s">
        <v>92</v>
      </c>
    </row>
    <row r="989" spans="12:13" x14ac:dyDescent="0.3">
      <c r="L989" s="19" t="s">
        <v>888</v>
      </c>
      <c r="M989" s="24" t="s">
        <v>92</v>
      </c>
    </row>
    <row r="990" spans="12:13" x14ac:dyDescent="0.3">
      <c r="L990" s="18" t="s">
        <v>889</v>
      </c>
      <c r="M990" s="23" t="s">
        <v>92</v>
      </c>
    </row>
    <row r="991" spans="12:13" x14ac:dyDescent="0.3">
      <c r="L991" s="19" t="s">
        <v>890</v>
      </c>
      <c r="M991" s="24" t="s">
        <v>92</v>
      </c>
    </row>
    <row r="992" spans="12:13" x14ac:dyDescent="0.3">
      <c r="L992" s="18" t="s">
        <v>779</v>
      </c>
      <c r="M992" s="23" t="s">
        <v>91</v>
      </c>
    </row>
    <row r="993" spans="12:13" x14ac:dyDescent="0.3">
      <c r="L993" s="19" t="s">
        <v>738</v>
      </c>
      <c r="M993" s="24" t="s">
        <v>91</v>
      </c>
    </row>
    <row r="994" spans="12:13" x14ac:dyDescent="0.3">
      <c r="L994" s="18" t="s">
        <v>824</v>
      </c>
      <c r="M994" s="23" t="s">
        <v>91</v>
      </c>
    </row>
    <row r="995" spans="12:13" x14ac:dyDescent="0.3">
      <c r="L995" s="19" t="s">
        <v>891</v>
      </c>
      <c r="M995" s="24" t="s">
        <v>91</v>
      </c>
    </row>
    <row r="996" spans="12:13" x14ac:dyDescent="0.3">
      <c r="L996" s="18" t="s">
        <v>892</v>
      </c>
      <c r="M996" s="23" t="s">
        <v>91</v>
      </c>
    </row>
    <row r="997" spans="12:13" x14ac:dyDescent="0.3">
      <c r="L997" s="19" t="s">
        <v>893</v>
      </c>
      <c r="M997" s="24" t="s">
        <v>91</v>
      </c>
    </row>
    <row r="998" spans="12:13" x14ac:dyDescent="0.3">
      <c r="L998" s="18" t="s">
        <v>894</v>
      </c>
      <c r="M998" s="23" t="s">
        <v>91</v>
      </c>
    </row>
    <row r="999" spans="12:13" x14ac:dyDescent="0.3">
      <c r="L999" s="19" t="s">
        <v>313</v>
      </c>
      <c r="M999" s="24" t="s">
        <v>91</v>
      </c>
    </row>
    <row r="1000" spans="12:13" x14ac:dyDescent="0.3">
      <c r="L1000" s="18" t="s">
        <v>828</v>
      </c>
      <c r="M1000" s="23" t="s">
        <v>91</v>
      </c>
    </row>
    <row r="1001" spans="12:13" x14ac:dyDescent="0.3">
      <c r="L1001" s="19" t="s">
        <v>895</v>
      </c>
      <c r="M1001" s="24" t="s">
        <v>91</v>
      </c>
    </row>
    <row r="1002" spans="12:13" x14ac:dyDescent="0.3">
      <c r="L1002" s="18" t="s">
        <v>896</v>
      </c>
      <c r="M1002" s="23" t="s">
        <v>91</v>
      </c>
    </row>
    <row r="1003" spans="12:13" x14ac:dyDescent="0.3">
      <c r="L1003" s="19" t="s">
        <v>897</v>
      </c>
      <c r="M1003" s="24" t="s">
        <v>91</v>
      </c>
    </row>
    <row r="1004" spans="12:13" x14ac:dyDescent="0.3">
      <c r="L1004" s="18" t="s">
        <v>898</v>
      </c>
      <c r="M1004" s="23" t="s">
        <v>91</v>
      </c>
    </row>
    <row r="1005" spans="12:13" x14ac:dyDescent="0.3">
      <c r="L1005" s="19" t="s">
        <v>899</v>
      </c>
      <c r="M1005" s="24" t="s">
        <v>91</v>
      </c>
    </row>
    <row r="1006" spans="12:13" x14ac:dyDescent="0.3">
      <c r="L1006" s="18" t="s">
        <v>900</v>
      </c>
      <c r="M1006" s="23" t="s">
        <v>91</v>
      </c>
    </row>
    <row r="1007" spans="12:13" x14ac:dyDescent="0.3">
      <c r="L1007" s="19" t="s">
        <v>208</v>
      </c>
      <c r="M1007" s="24" t="s">
        <v>91</v>
      </c>
    </row>
    <row r="1008" spans="12:13" x14ac:dyDescent="0.3">
      <c r="L1008" s="18" t="s">
        <v>901</v>
      </c>
      <c r="M1008" s="23" t="s">
        <v>91</v>
      </c>
    </row>
    <row r="1009" spans="12:13" x14ac:dyDescent="0.3">
      <c r="L1009" s="19" t="s">
        <v>902</v>
      </c>
      <c r="M1009" s="24" t="s">
        <v>91</v>
      </c>
    </row>
    <row r="1010" spans="12:13" x14ac:dyDescent="0.3">
      <c r="L1010" s="18" t="s">
        <v>903</v>
      </c>
      <c r="M1010" s="23" t="s">
        <v>91</v>
      </c>
    </row>
    <row r="1011" spans="12:13" x14ac:dyDescent="0.3">
      <c r="L1011" s="19" t="s">
        <v>904</v>
      </c>
      <c r="M1011" s="24" t="s">
        <v>91</v>
      </c>
    </row>
    <row r="1012" spans="12:13" x14ac:dyDescent="0.3">
      <c r="L1012" s="18" t="s">
        <v>315</v>
      </c>
      <c r="M1012" s="23" t="s">
        <v>91</v>
      </c>
    </row>
    <row r="1013" spans="12:13" x14ac:dyDescent="0.3">
      <c r="L1013" s="19" t="s">
        <v>905</v>
      </c>
      <c r="M1013" s="24" t="s">
        <v>91</v>
      </c>
    </row>
    <row r="1014" spans="12:13" x14ac:dyDescent="0.3">
      <c r="L1014" s="18" t="s">
        <v>906</v>
      </c>
      <c r="M1014" s="23" t="s">
        <v>91</v>
      </c>
    </row>
    <row r="1015" spans="12:13" x14ac:dyDescent="0.3">
      <c r="L1015" s="19" t="s">
        <v>690</v>
      </c>
      <c r="M1015" s="24" t="s">
        <v>91</v>
      </c>
    </row>
    <row r="1016" spans="12:13" x14ac:dyDescent="0.3">
      <c r="L1016" s="18" t="s">
        <v>317</v>
      </c>
      <c r="M1016" s="23" t="s">
        <v>91</v>
      </c>
    </row>
    <row r="1017" spans="12:13" x14ac:dyDescent="0.3">
      <c r="L1017" s="19" t="s">
        <v>215</v>
      </c>
      <c r="M1017" s="24" t="s">
        <v>91</v>
      </c>
    </row>
    <row r="1018" spans="12:13" x14ac:dyDescent="0.3">
      <c r="L1018" s="18" t="s">
        <v>691</v>
      </c>
      <c r="M1018" s="23" t="s">
        <v>91</v>
      </c>
    </row>
    <row r="1019" spans="12:13" x14ac:dyDescent="0.3">
      <c r="L1019" s="19" t="s">
        <v>323</v>
      </c>
      <c r="M1019" s="24" t="s">
        <v>91</v>
      </c>
    </row>
    <row r="1020" spans="12:13" x14ac:dyDescent="0.3">
      <c r="L1020" s="18" t="s">
        <v>693</v>
      </c>
      <c r="M1020" s="23" t="s">
        <v>91</v>
      </c>
    </row>
    <row r="1021" spans="12:13" x14ac:dyDescent="0.3">
      <c r="L1021" s="19" t="s">
        <v>741</v>
      </c>
      <c r="M1021" s="24" t="s">
        <v>91</v>
      </c>
    </row>
    <row r="1022" spans="12:13" x14ac:dyDescent="0.3">
      <c r="L1022" s="18" t="s">
        <v>907</v>
      </c>
      <c r="M1022" s="23" t="s">
        <v>91</v>
      </c>
    </row>
    <row r="1023" spans="12:13" x14ac:dyDescent="0.3">
      <c r="L1023" s="19" t="s">
        <v>908</v>
      </c>
      <c r="M1023" s="24" t="s">
        <v>91</v>
      </c>
    </row>
    <row r="1024" spans="12:13" x14ac:dyDescent="0.3">
      <c r="L1024" s="18" t="s">
        <v>909</v>
      </c>
      <c r="M1024" s="23" t="s">
        <v>91</v>
      </c>
    </row>
    <row r="1025" spans="12:13" x14ac:dyDescent="0.3">
      <c r="L1025" s="19" t="s">
        <v>230</v>
      </c>
      <c r="M1025" s="24" t="s">
        <v>91</v>
      </c>
    </row>
    <row r="1026" spans="12:13" x14ac:dyDescent="0.3">
      <c r="L1026" s="18" t="s">
        <v>910</v>
      </c>
      <c r="M1026" s="23" t="s">
        <v>91</v>
      </c>
    </row>
    <row r="1027" spans="12:13" x14ac:dyDescent="0.3">
      <c r="L1027" s="19" t="s">
        <v>579</v>
      </c>
      <c r="M1027" s="24" t="s">
        <v>91</v>
      </c>
    </row>
    <row r="1028" spans="12:13" x14ac:dyDescent="0.3">
      <c r="L1028" s="18" t="s">
        <v>231</v>
      </c>
      <c r="M1028" s="23" t="s">
        <v>91</v>
      </c>
    </row>
    <row r="1029" spans="12:13" x14ac:dyDescent="0.3">
      <c r="L1029" s="19" t="s">
        <v>328</v>
      </c>
      <c r="M1029" s="24" t="s">
        <v>91</v>
      </c>
    </row>
    <row r="1030" spans="12:13" x14ac:dyDescent="0.3">
      <c r="L1030" s="18" t="s">
        <v>699</v>
      </c>
      <c r="M1030" s="23" t="s">
        <v>91</v>
      </c>
    </row>
    <row r="1031" spans="12:13" x14ac:dyDescent="0.3">
      <c r="L1031" s="19" t="s">
        <v>911</v>
      </c>
      <c r="M1031" s="24" t="s">
        <v>91</v>
      </c>
    </row>
    <row r="1032" spans="12:13" x14ac:dyDescent="0.3">
      <c r="L1032" s="18" t="s">
        <v>330</v>
      </c>
      <c r="M1032" s="23" t="s">
        <v>91</v>
      </c>
    </row>
    <row r="1033" spans="12:13" x14ac:dyDescent="0.3">
      <c r="L1033" s="19" t="s">
        <v>912</v>
      </c>
      <c r="M1033" s="24" t="s">
        <v>91</v>
      </c>
    </row>
    <row r="1034" spans="12:13" x14ac:dyDescent="0.3">
      <c r="L1034" s="18" t="s">
        <v>913</v>
      </c>
      <c r="M1034" s="23" t="s">
        <v>91</v>
      </c>
    </row>
    <row r="1035" spans="12:13" x14ac:dyDescent="0.3">
      <c r="L1035" s="19" t="s">
        <v>914</v>
      </c>
      <c r="M1035" s="24" t="s">
        <v>91</v>
      </c>
    </row>
    <row r="1036" spans="12:13" x14ac:dyDescent="0.3">
      <c r="L1036" s="18" t="s">
        <v>915</v>
      </c>
      <c r="M1036" s="23" t="s">
        <v>91</v>
      </c>
    </row>
    <row r="1037" spans="12:13" x14ac:dyDescent="0.3">
      <c r="L1037" s="19" t="s">
        <v>589</v>
      </c>
      <c r="M1037" s="24" t="s">
        <v>91</v>
      </c>
    </row>
    <row r="1038" spans="12:13" x14ac:dyDescent="0.3">
      <c r="L1038" s="18" t="s">
        <v>701</v>
      </c>
      <c r="M1038" s="23" t="s">
        <v>91</v>
      </c>
    </row>
    <row r="1039" spans="12:13" x14ac:dyDescent="0.3">
      <c r="L1039" s="19" t="s">
        <v>916</v>
      </c>
      <c r="M1039" s="24" t="s">
        <v>91</v>
      </c>
    </row>
    <row r="1040" spans="12:13" x14ac:dyDescent="0.3">
      <c r="L1040" s="18" t="s">
        <v>748</v>
      </c>
      <c r="M1040" s="23" t="s">
        <v>91</v>
      </c>
    </row>
    <row r="1041" spans="12:13" x14ac:dyDescent="0.3">
      <c r="L1041" s="19" t="s">
        <v>592</v>
      </c>
      <c r="M1041" s="24" t="s">
        <v>91</v>
      </c>
    </row>
    <row r="1042" spans="12:13" x14ac:dyDescent="0.3">
      <c r="L1042" s="18" t="s">
        <v>702</v>
      </c>
      <c r="M1042" s="23" t="s">
        <v>91</v>
      </c>
    </row>
    <row r="1043" spans="12:13" x14ac:dyDescent="0.3">
      <c r="L1043" s="19" t="s">
        <v>235</v>
      </c>
      <c r="M1043" s="24" t="s">
        <v>91</v>
      </c>
    </row>
    <row r="1044" spans="12:13" x14ac:dyDescent="0.3">
      <c r="L1044" s="18" t="s">
        <v>917</v>
      </c>
      <c r="M1044" s="23" t="s">
        <v>91</v>
      </c>
    </row>
    <row r="1045" spans="12:13" x14ac:dyDescent="0.3">
      <c r="L1045" s="19" t="s">
        <v>918</v>
      </c>
      <c r="M1045" s="24" t="s">
        <v>91</v>
      </c>
    </row>
    <row r="1046" spans="12:13" x14ac:dyDescent="0.3">
      <c r="L1046" s="18" t="s">
        <v>237</v>
      </c>
      <c r="M1046" s="23" t="s">
        <v>91</v>
      </c>
    </row>
    <row r="1047" spans="12:13" x14ac:dyDescent="0.3">
      <c r="L1047" s="19" t="s">
        <v>238</v>
      </c>
      <c r="M1047" s="24" t="s">
        <v>91</v>
      </c>
    </row>
    <row r="1048" spans="12:13" x14ac:dyDescent="0.3">
      <c r="L1048" s="18" t="s">
        <v>919</v>
      </c>
      <c r="M1048" s="23" t="s">
        <v>91</v>
      </c>
    </row>
    <row r="1049" spans="12:13" x14ac:dyDescent="0.3">
      <c r="L1049" s="19" t="s">
        <v>336</v>
      </c>
      <c r="M1049" s="24" t="s">
        <v>91</v>
      </c>
    </row>
    <row r="1050" spans="12:13" x14ac:dyDescent="0.3">
      <c r="L1050" s="18" t="s">
        <v>920</v>
      </c>
      <c r="M1050" s="23" t="s">
        <v>91</v>
      </c>
    </row>
    <row r="1051" spans="12:13" x14ac:dyDescent="0.3">
      <c r="L1051" s="19" t="s">
        <v>921</v>
      </c>
      <c r="M1051" s="24" t="s">
        <v>91</v>
      </c>
    </row>
    <row r="1052" spans="12:13" x14ac:dyDescent="0.3">
      <c r="L1052" s="18" t="s">
        <v>709</v>
      </c>
      <c r="M1052" s="23" t="s">
        <v>91</v>
      </c>
    </row>
    <row r="1053" spans="12:13" x14ac:dyDescent="0.3">
      <c r="L1053" s="19" t="s">
        <v>922</v>
      </c>
      <c r="M1053" s="24" t="s">
        <v>91</v>
      </c>
    </row>
    <row r="1054" spans="12:13" x14ac:dyDescent="0.3">
      <c r="L1054" s="18" t="s">
        <v>923</v>
      </c>
      <c r="M1054" s="23" t="s">
        <v>91</v>
      </c>
    </row>
    <row r="1055" spans="12:13" x14ac:dyDescent="0.3">
      <c r="L1055" s="19" t="s">
        <v>241</v>
      </c>
      <c r="M1055" s="24" t="s">
        <v>91</v>
      </c>
    </row>
    <row r="1056" spans="12:13" x14ac:dyDescent="0.3">
      <c r="L1056" s="18" t="s">
        <v>242</v>
      </c>
      <c r="M1056" s="23" t="s">
        <v>91</v>
      </c>
    </row>
    <row r="1057" spans="12:13" x14ac:dyDescent="0.3">
      <c r="L1057" s="19" t="s">
        <v>924</v>
      </c>
      <c r="M1057" s="24" t="s">
        <v>91</v>
      </c>
    </row>
    <row r="1058" spans="12:13" x14ac:dyDescent="0.3">
      <c r="L1058" s="18" t="s">
        <v>925</v>
      </c>
      <c r="M1058" s="23" t="s">
        <v>91</v>
      </c>
    </row>
    <row r="1059" spans="12:13" x14ac:dyDescent="0.3">
      <c r="L1059" s="19" t="s">
        <v>673</v>
      </c>
      <c r="M1059" s="24" t="s">
        <v>91</v>
      </c>
    </row>
    <row r="1060" spans="12:13" x14ac:dyDescent="0.3">
      <c r="L1060" s="18" t="s">
        <v>338</v>
      </c>
      <c r="M1060" s="23" t="s">
        <v>91</v>
      </c>
    </row>
    <row r="1061" spans="12:13" x14ac:dyDescent="0.3">
      <c r="L1061" s="19" t="s">
        <v>711</v>
      </c>
      <c r="M1061" s="24" t="s">
        <v>91</v>
      </c>
    </row>
    <row r="1062" spans="12:13" x14ac:dyDescent="0.3">
      <c r="L1062" s="18" t="s">
        <v>340</v>
      </c>
      <c r="M1062" s="23" t="s">
        <v>91</v>
      </c>
    </row>
    <row r="1063" spans="12:13" x14ac:dyDescent="0.3">
      <c r="L1063" s="19" t="s">
        <v>803</v>
      </c>
      <c r="M1063" s="24" t="s">
        <v>91</v>
      </c>
    </row>
    <row r="1064" spans="12:13" x14ac:dyDescent="0.3">
      <c r="L1064" s="18" t="s">
        <v>926</v>
      </c>
      <c r="M1064" s="23" t="s">
        <v>91</v>
      </c>
    </row>
    <row r="1065" spans="12:13" x14ac:dyDescent="0.3">
      <c r="L1065" s="19" t="s">
        <v>927</v>
      </c>
      <c r="M1065" s="24" t="s">
        <v>91</v>
      </c>
    </row>
    <row r="1066" spans="12:13" x14ac:dyDescent="0.3">
      <c r="L1066" s="18" t="s">
        <v>714</v>
      </c>
      <c r="M1066" s="23" t="s">
        <v>91</v>
      </c>
    </row>
    <row r="1067" spans="12:13" x14ac:dyDescent="0.3">
      <c r="L1067" s="19" t="s">
        <v>246</v>
      </c>
      <c r="M1067" s="24" t="s">
        <v>91</v>
      </c>
    </row>
    <row r="1068" spans="12:13" x14ac:dyDescent="0.3">
      <c r="L1068" s="18" t="s">
        <v>928</v>
      </c>
      <c r="M1068" s="23" t="s">
        <v>91</v>
      </c>
    </row>
    <row r="1069" spans="12:13" x14ac:dyDescent="0.3">
      <c r="L1069" s="19" t="s">
        <v>248</v>
      </c>
      <c r="M1069" s="24" t="s">
        <v>91</v>
      </c>
    </row>
    <row r="1070" spans="12:13" x14ac:dyDescent="0.3">
      <c r="L1070" s="18" t="s">
        <v>249</v>
      </c>
      <c r="M1070" s="23" t="s">
        <v>91</v>
      </c>
    </row>
    <row r="1071" spans="12:13" x14ac:dyDescent="0.3">
      <c r="L1071" s="19" t="s">
        <v>519</v>
      </c>
      <c r="M1071" s="24" t="s">
        <v>91</v>
      </c>
    </row>
    <row r="1072" spans="12:13" x14ac:dyDescent="0.3">
      <c r="L1072" s="18" t="s">
        <v>716</v>
      </c>
      <c r="M1072" s="23" t="s">
        <v>91</v>
      </c>
    </row>
    <row r="1073" spans="12:13" x14ac:dyDescent="0.3">
      <c r="L1073" s="19" t="s">
        <v>856</v>
      </c>
      <c r="M1073" s="24" t="s">
        <v>91</v>
      </c>
    </row>
    <row r="1074" spans="12:13" x14ac:dyDescent="0.3">
      <c r="L1074" s="18" t="s">
        <v>929</v>
      </c>
      <c r="M1074" s="23" t="s">
        <v>91</v>
      </c>
    </row>
    <row r="1075" spans="12:13" x14ac:dyDescent="0.3">
      <c r="L1075" s="19" t="s">
        <v>719</v>
      </c>
      <c r="M1075" s="24" t="s">
        <v>91</v>
      </c>
    </row>
    <row r="1076" spans="12:13" x14ac:dyDescent="0.3">
      <c r="L1076" s="18" t="s">
        <v>930</v>
      </c>
      <c r="M1076" s="23" t="s">
        <v>91</v>
      </c>
    </row>
    <row r="1077" spans="12:13" x14ac:dyDescent="0.3">
      <c r="L1077" s="19" t="s">
        <v>251</v>
      </c>
      <c r="M1077" s="24" t="s">
        <v>91</v>
      </c>
    </row>
    <row r="1078" spans="12:13" x14ac:dyDescent="0.3">
      <c r="L1078" s="18" t="s">
        <v>252</v>
      </c>
      <c r="M1078" s="23" t="s">
        <v>91</v>
      </c>
    </row>
    <row r="1079" spans="12:13" x14ac:dyDescent="0.3">
      <c r="L1079" s="19" t="s">
        <v>253</v>
      </c>
      <c r="M1079" s="24" t="s">
        <v>91</v>
      </c>
    </row>
    <row r="1080" spans="12:13" x14ac:dyDescent="0.3">
      <c r="L1080" s="18" t="s">
        <v>931</v>
      </c>
      <c r="M1080" s="23" t="s">
        <v>91</v>
      </c>
    </row>
    <row r="1081" spans="12:13" x14ac:dyDescent="0.3">
      <c r="L1081" s="19" t="s">
        <v>932</v>
      </c>
      <c r="M1081" s="24" t="s">
        <v>91</v>
      </c>
    </row>
    <row r="1082" spans="12:13" x14ac:dyDescent="0.3">
      <c r="L1082" s="18" t="s">
        <v>933</v>
      </c>
      <c r="M1082" s="23" t="s">
        <v>91</v>
      </c>
    </row>
    <row r="1083" spans="12:13" x14ac:dyDescent="0.3">
      <c r="L1083" s="19" t="s">
        <v>758</v>
      </c>
      <c r="M1083" s="24" t="s">
        <v>91</v>
      </c>
    </row>
    <row r="1084" spans="12:13" x14ac:dyDescent="0.3">
      <c r="L1084" s="18" t="s">
        <v>934</v>
      </c>
      <c r="M1084" s="23" t="s">
        <v>91</v>
      </c>
    </row>
    <row r="1085" spans="12:13" x14ac:dyDescent="0.3">
      <c r="L1085" s="19" t="s">
        <v>759</v>
      </c>
      <c r="M1085" s="24" t="s">
        <v>91</v>
      </c>
    </row>
    <row r="1086" spans="12:13" x14ac:dyDescent="0.3">
      <c r="L1086" s="18" t="s">
        <v>935</v>
      </c>
      <c r="M1086" s="23" t="s">
        <v>91</v>
      </c>
    </row>
    <row r="1087" spans="12:13" x14ac:dyDescent="0.3">
      <c r="L1087" s="19" t="s">
        <v>936</v>
      </c>
      <c r="M1087" s="24" t="s">
        <v>91</v>
      </c>
    </row>
    <row r="1088" spans="12:13" x14ac:dyDescent="0.3">
      <c r="L1088" s="18" t="s">
        <v>254</v>
      </c>
      <c r="M1088" s="23" t="s">
        <v>91</v>
      </c>
    </row>
    <row r="1089" spans="12:13" x14ac:dyDescent="0.3">
      <c r="L1089" s="19" t="s">
        <v>256</v>
      </c>
      <c r="M1089" s="24" t="s">
        <v>91</v>
      </c>
    </row>
    <row r="1090" spans="12:13" x14ac:dyDescent="0.3">
      <c r="L1090" s="18" t="s">
        <v>937</v>
      </c>
      <c r="M1090" s="23" t="s">
        <v>91</v>
      </c>
    </row>
    <row r="1091" spans="12:13" x14ac:dyDescent="0.3">
      <c r="L1091" s="19" t="s">
        <v>352</v>
      </c>
      <c r="M1091" s="24" t="s">
        <v>91</v>
      </c>
    </row>
    <row r="1092" spans="12:13" x14ac:dyDescent="0.3">
      <c r="L1092" s="18" t="s">
        <v>938</v>
      </c>
      <c r="M1092" s="23" t="s">
        <v>91</v>
      </c>
    </row>
    <row r="1093" spans="12:13" x14ac:dyDescent="0.3">
      <c r="L1093" s="19" t="s">
        <v>939</v>
      </c>
      <c r="M1093" s="24" t="s">
        <v>91</v>
      </c>
    </row>
    <row r="1094" spans="12:13" x14ac:dyDescent="0.3">
      <c r="L1094" s="18" t="s">
        <v>940</v>
      </c>
      <c r="M1094" s="23" t="s">
        <v>91</v>
      </c>
    </row>
    <row r="1095" spans="12:13" x14ac:dyDescent="0.3">
      <c r="L1095" s="19" t="s">
        <v>258</v>
      </c>
      <c r="M1095" s="24" t="s">
        <v>91</v>
      </c>
    </row>
    <row r="1096" spans="12:13" x14ac:dyDescent="0.3">
      <c r="L1096" s="18" t="s">
        <v>355</v>
      </c>
      <c r="M1096" s="23" t="s">
        <v>91</v>
      </c>
    </row>
    <row r="1097" spans="12:13" x14ac:dyDescent="0.3">
      <c r="L1097" s="19" t="s">
        <v>260</v>
      </c>
      <c r="M1097" s="24" t="s">
        <v>91</v>
      </c>
    </row>
    <row r="1098" spans="12:13" x14ac:dyDescent="0.3">
      <c r="L1098" s="18" t="s">
        <v>941</v>
      </c>
      <c r="M1098" s="23" t="s">
        <v>91</v>
      </c>
    </row>
    <row r="1099" spans="12:13" x14ac:dyDescent="0.3">
      <c r="L1099" s="19" t="s">
        <v>766</v>
      </c>
      <c r="M1099" s="24" t="s">
        <v>91</v>
      </c>
    </row>
    <row r="1100" spans="12:13" x14ac:dyDescent="0.3">
      <c r="L1100" s="18" t="s">
        <v>534</v>
      </c>
      <c r="M1100" s="23" t="s">
        <v>91</v>
      </c>
    </row>
    <row r="1101" spans="12:13" x14ac:dyDescent="0.3">
      <c r="L1101" s="19" t="s">
        <v>942</v>
      </c>
      <c r="M1101" s="24" t="s">
        <v>91</v>
      </c>
    </row>
    <row r="1102" spans="12:13" x14ac:dyDescent="0.3">
      <c r="L1102" s="18" t="s">
        <v>943</v>
      </c>
      <c r="M1102" s="23" t="s">
        <v>91</v>
      </c>
    </row>
    <row r="1103" spans="12:13" x14ac:dyDescent="0.3">
      <c r="L1103" s="19" t="s">
        <v>944</v>
      </c>
      <c r="M1103" s="24" t="s">
        <v>91</v>
      </c>
    </row>
    <row r="1104" spans="12:13" x14ac:dyDescent="0.3">
      <c r="L1104" s="18" t="s">
        <v>361</v>
      </c>
      <c r="M1104" s="23" t="s">
        <v>91</v>
      </c>
    </row>
    <row r="1105" spans="12:13" x14ac:dyDescent="0.3">
      <c r="L1105" s="19" t="s">
        <v>638</v>
      </c>
      <c r="M1105" s="24" t="s">
        <v>91</v>
      </c>
    </row>
    <row r="1106" spans="12:13" x14ac:dyDescent="0.3">
      <c r="L1106" s="18" t="s">
        <v>266</v>
      </c>
      <c r="M1106" s="23" t="s">
        <v>91</v>
      </c>
    </row>
    <row r="1107" spans="12:13" x14ac:dyDescent="0.3">
      <c r="L1107" s="19" t="s">
        <v>639</v>
      </c>
      <c r="M1107" s="24" t="s">
        <v>91</v>
      </c>
    </row>
    <row r="1108" spans="12:13" x14ac:dyDescent="0.3">
      <c r="L1108" s="18" t="s">
        <v>640</v>
      </c>
      <c r="M1108" s="23" t="s">
        <v>91</v>
      </c>
    </row>
    <row r="1109" spans="12:13" x14ac:dyDescent="0.3">
      <c r="L1109" s="19" t="s">
        <v>778</v>
      </c>
      <c r="M1109" s="24" t="s">
        <v>91</v>
      </c>
    </row>
    <row r="1110" spans="12:13" x14ac:dyDescent="0.3">
      <c r="L1110" s="18" t="s">
        <v>945</v>
      </c>
      <c r="M1110" s="23" t="s">
        <v>91</v>
      </c>
    </row>
    <row r="1111" spans="12:13" x14ac:dyDescent="0.3">
      <c r="L1111" s="19" t="s">
        <v>737</v>
      </c>
      <c r="M1111" s="24" t="s">
        <v>91</v>
      </c>
    </row>
    <row r="1112" spans="12:13" x14ac:dyDescent="0.3">
      <c r="L1112" s="18" t="s">
        <v>946</v>
      </c>
      <c r="M1112" s="23" t="s">
        <v>90</v>
      </c>
    </row>
    <row r="1113" spans="12:13" x14ac:dyDescent="0.3">
      <c r="L1113" s="19" t="s">
        <v>947</v>
      </c>
      <c r="M1113" s="24" t="s">
        <v>90</v>
      </c>
    </row>
    <row r="1114" spans="12:13" x14ac:dyDescent="0.3">
      <c r="L1114" s="18" t="s">
        <v>948</v>
      </c>
      <c r="M1114" s="23" t="s">
        <v>90</v>
      </c>
    </row>
    <row r="1115" spans="12:13" x14ac:dyDescent="0.3">
      <c r="L1115" s="19" t="s">
        <v>949</v>
      </c>
      <c r="M1115" s="24" t="s">
        <v>90</v>
      </c>
    </row>
    <row r="1116" spans="12:13" x14ac:dyDescent="0.3">
      <c r="L1116" s="18" t="s">
        <v>950</v>
      </c>
      <c r="M1116" s="23" t="s">
        <v>90</v>
      </c>
    </row>
    <row r="1117" spans="12:13" x14ac:dyDescent="0.3">
      <c r="L1117" s="19" t="s">
        <v>951</v>
      </c>
      <c r="M1117" s="24" t="s">
        <v>90</v>
      </c>
    </row>
    <row r="1118" spans="12:13" x14ac:dyDescent="0.3">
      <c r="L1118" s="18" t="s">
        <v>952</v>
      </c>
      <c r="M1118" s="23" t="s">
        <v>90</v>
      </c>
    </row>
    <row r="1119" spans="12:13" x14ac:dyDescent="0.3">
      <c r="L1119" s="19" t="s">
        <v>953</v>
      </c>
      <c r="M1119" s="24" t="s">
        <v>90</v>
      </c>
    </row>
    <row r="1120" spans="12:13" x14ac:dyDescent="0.3">
      <c r="L1120" s="18" t="s">
        <v>954</v>
      </c>
      <c r="M1120" s="23" t="s">
        <v>90</v>
      </c>
    </row>
    <row r="1121" spans="12:13" x14ac:dyDescent="0.3">
      <c r="L1121" s="19" t="s">
        <v>955</v>
      </c>
      <c r="M1121" s="24" t="s">
        <v>90</v>
      </c>
    </row>
    <row r="1122" spans="12:13" x14ac:dyDescent="0.3">
      <c r="L1122" s="18" t="s">
        <v>956</v>
      </c>
      <c r="M1122" s="23" t="s">
        <v>90</v>
      </c>
    </row>
    <row r="1123" spans="12:13" x14ac:dyDescent="0.3">
      <c r="L1123" s="19" t="s">
        <v>957</v>
      </c>
      <c r="M1123" s="24" t="s">
        <v>90</v>
      </c>
    </row>
    <row r="1124" spans="12:13" x14ac:dyDescent="0.3">
      <c r="L1124" s="18" t="s">
        <v>958</v>
      </c>
      <c r="M1124" s="23" t="s">
        <v>90</v>
      </c>
    </row>
    <row r="1125" spans="12:13" x14ac:dyDescent="0.3">
      <c r="L1125" s="19" t="s">
        <v>959</v>
      </c>
      <c r="M1125" s="24" t="s">
        <v>90</v>
      </c>
    </row>
    <row r="1126" spans="12:13" x14ac:dyDescent="0.3">
      <c r="L1126" s="18" t="s">
        <v>960</v>
      </c>
      <c r="M1126" s="23" t="s">
        <v>90</v>
      </c>
    </row>
    <row r="1127" spans="12:13" x14ac:dyDescent="0.3">
      <c r="L1127" s="19" t="s">
        <v>961</v>
      </c>
      <c r="M1127" s="24" t="s">
        <v>90</v>
      </c>
    </row>
    <row r="1128" spans="12:13" x14ac:dyDescent="0.3">
      <c r="L1128" s="18" t="s">
        <v>962</v>
      </c>
      <c r="M1128" s="23" t="s">
        <v>90</v>
      </c>
    </row>
    <row r="1129" spans="12:13" x14ac:dyDescent="0.3">
      <c r="L1129" s="19" t="s">
        <v>963</v>
      </c>
      <c r="M1129" s="24" t="s">
        <v>90</v>
      </c>
    </row>
    <row r="1130" spans="12:13" x14ac:dyDescent="0.3">
      <c r="L1130" s="18" t="s">
        <v>964</v>
      </c>
      <c r="M1130" s="23" t="s">
        <v>90</v>
      </c>
    </row>
    <row r="1131" spans="12:13" x14ac:dyDescent="0.3">
      <c r="L1131" s="19" t="s">
        <v>965</v>
      </c>
      <c r="M1131" s="24" t="s">
        <v>90</v>
      </c>
    </row>
    <row r="1132" spans="12:13" x14ac:dyDescent="0.3">
      <c r="L1132" s="18" t="s">
        <v>966</v>
      </c>
      <c r="M1132" s="23" t="s">
        <v>90</v>
      </c>
    </row>
    <row r="1133" spans="12:13" x14ac:dyDescent="0.3">
      <c r="L1133" s="19" t="s">
        <v>967</v>
      </c>
      <c r="M1133" s="24" t="s">
        <v>90</v>
      </c>
    </row>
    <row r="1134" spans="12:13" x14ac:dyDescent="0.3">
      <c r="L1134" s="18" t="s">
        <v>968</v>
      </c>
      <c r="M1134" s="23" t="s">
        <v>90</v>
      </c>
    </row>
    <row r="1135" spans="12:13" x14ac:dyDescent="0.3">
      <c r="L1135" s="19" t="s">
        <v>969</v>
      </c>
      <c r="M1135" s="24" t="s">
        <v>90</v>
      </c>
    </row>
    <row r="1136" spans="12:13" x14ac:dyDescent="0.3">
      <c r="L1136" s="18" t="s">
        <v>970</v>
      </c>
      <c r="M1136" s="23" t="s">
        <v>90</v>
      </c>
    </row>
    <row r="1137" spans="12:13" x14ac:dyDescent="0.3">
      <c r="L1137" s="19" t="s">
        <v>971</v>
      </c>
      <c r="M1137" s="24" t="s">
        <v>90</v>
      </c>
    </row>
    <row r="1138" spans="12:13" x14ac:dyDescent="0.3">
      <c r="L1138" s="18" t="s">
        <v>972</v>
      </c>
      <c r="M1138" s="23" t="s">
        <v>90</v>
      </c>
    </row>
    <row r="1139" spans="12:13" x14ac:dyDescent="0.3">
      <c r="L1139" s="19" t="s">
        <v>973</v>
      </c>
      <c r="M1139" s="24" t="s">
        <v>90</v>
      </c>
    </row>
    <row r="1140" spans="12:13" x14ac:dyDescent="0.3">
      <c r="L1140" s="18" t="s">
        <v>974</v>
      </c>
      <c r="M1140" s="23" t="s">
        <v>90</v>
      </c>
    </row>
    <row r="1141" spans="12:13" x14ac:dyDescent="0.3">
      <c r="L1141" s="19" t="s">
        <v>975</v>
      </c>
      <c r="M1141" s="24" t="s">
        <v>90</v>
      </c>
    </row>
    <row r="1142" spans="12:13" x14ac:dyDescent="0.3">
      <c r="L1142" s="18" t="s">
        <v>976</v>
      </c>
      <c r="M1142" s="23" t="s">
        <v>90</v>
      </c>
    </row>
    <row r="1143" spans="12:13" x14ac:dyDescent="0.3">
      <c r="L1143" s="19" t="s">
        <v>977</v>
      </c>
      <c r="M1143" s="24" t="s">
        <v>90</v>
      </c>
    </row>
    <row r="1144" spans="12:13" x14ac:dyDescent="0.3">
      <c r="L1144" s="18" t="s">
        <v>978</v>
      </c>
      <c r="M1144" s="23" t="s">
        <v>90</v>
      </c>
    </row>
    <row r="1145" spans="12:13" x14ac:dyDescent="0.3">
      <c r="L1145" s="19" t="s">
        <v>979</v>
      </c>
      <c r="M1145" s="24" t="s">
        <v>90</v>
      </c>
    </row>
    <row r="1146" spans="12:13" x14ac:dyDescent="0.3">
      <c r="L1146" s="18" t="s">
        <v>980</v>
      </c>
      <c r="M1146" s="23" t="s">
        <v>90</v>
      </c>
    </row>
    <row r="1147" spans="12:13" x14ac:dyDescent="0.3">
      <c r="L1147" s="19" t="s">
        <v>981</v>
      </c>
      <c r="M1147" s="24" t="s">
        <v>90</v>
      </c>
    </row>
    <row r="1148" spans="12:13" x14ac:dyDescent="0.3">
      <c r="L1148" s="18" t="s">
        <v>982</v>
      </c>
      <c r="M1148" s="23" t="s">
        <v>90</v>
      </c>
    </row>
    <row r="1149" spans="12:13" x14ac:dyDescent="0.3">
      <c r="L1149" s="19" t="s">
        <v>983</v>
      </c>
      <c r="M1149" s="24" t="s">
        <v>90</v>
      </c>
    </row>
    <row r="1150" spans="12:13" x14ac:dyDescent="0.3">
      <c r="L1150" s="18" t="s">
        <v>984</v>
      </c>
      <c r="M1150" s="23" t="s">
        <v>90</v>
      </c>
    </row>
    <row r="1151" spans="12:13" x14ac:dyDescent="0.3">
      <c r="L1151" s="19" t="s">
        <v>985</v>
      </c>
      <c r="M1151" s="24" t="s">
        <v>90</v>
      </c>
    </row>
    <row r="1152" spans="12:13" x14ac:dyDescent="0.3">
      <c r="L1152" s="18" t="s">
        <v>986</v>
      </c>
      <c r="M1152" s="23" t="s">
        <v>90</v>
      </c>
    </row>
    <row r="1153" spans="12:13" x14ac:dyDescent="0.3">
      <c r="L1153" s="19" t="s">
        <v>987</v>
      </c>
      <c r="M1153" s="24" t="s">
        <v>90</v>
      </c>
    </row>
    <row r="1154" spans="12:13" x14ac:dyDescent="0.3">
      <c r="L1154" s="18" t="s">
        <v>988</v>
      </c>
      <c r="M1154" s="23" t="s">
        <v>90</v>
      </c>
    </row>
    <row r="1155" spans="12:13" x14ac:dyDescent="0.3">
      <c r="L1155" s="19" t="s">
        <v>989</v>
      </c>
      <c r="M1155" s="24" t="s">
        <v>90</v>
      </c>
    </row>
    <row r="1156" spans="12:13" x14ac:dyDescent="0.3">
      <c r="L1156" s="18" t="s">
        <v>990</v>
      </c>
      <c r="M1156" s="23" t="s">
        <v>90</v>
      </c>
    </row>
    <row r="1157" spans="12:13" x14ac:dyDescent="0.3">
      <c r="L1157" s="19" t="s">
        <v>991</v>
      </c>
      <c r="M1157" s="24" t="s">
        <v>90</v>
      </c>
    </row>
    <row r="1158" spans="12:13" x14ac:dyDescent="0.3">
      <c r="L1158" s="18" t="s">
        <v>992</v>
      </c>
      <c r="M1158" s="23" t="s">
        <v>90</v>
      </c>
    </row>
    <row r="1159" spans="12:13" x14ac:dyDescent="0.3">
      <c r="L1159" s="19" t="s">
        <v>993</v>
      </c>
      <c r="M1159" s="24" t="s">
        <v>90</v>
      </c>
    </row>
    <row r="1160" spans="12:13" x14ac:dyDescent="0.3">
      <c r="L1160" s="18" t="s">
        <v>994</v>
      </c>
      <c r="M1160" s="23" t="s">
        <v>90</v>
      </c>
    </row>
    <row r="1161" spans="12:13" x14ac:dyDescent="0.3">
      <c r="L1161" s="19" t="s">
        <v>995</v>
      </c>
      <c r="M1161" s="24" t="s">
        <v>90</v>
      </c>
    </row>
    <row r="1162" spans="12:13" x14ac:dyDescent="0.3">
      <c r="L1162" s="18" t="s">
        <v>996</v>
      </c>
      <c r="M1162" s="23" t="s">
        <v>90</v>
      </c>
    </row>
    <row r="1163" spans="12:13" x14ac:dyDescent="0.3">
      <c r="L1163" s="19" t="s">
        <v>997</v>
      </c>
      <c r="M1163" s="24" t="s">
        <v>90</v>
      </c>
    </row>
    <row r="1164" spans="12:13" x14ac:dyDescent="0.3">
      <c r="L1164" s="18" t="s">
        <v>998</v>
      </c>
      <c r="M1164" s="23" t="s">
        <v>90</v>
      </c>
    </row>
    <row r="1165" spans="12:13" x14ac:dyDescent="0.3">
      <c r="L1165" s="19" t="s">
        <v>999</v>
      </c>
      <c r="M1165" s="24" t="s">
        <v>90</v>
      </c>
    </row>
    <row r="1166" spans="12:13" x14ac:dyDescent="0.3">
      <c r="L1166" s="18" t="s">
        <v>1000</v>
      </c>
      <c r="M1166" s="23" t="s">
        <v>90</v>
      </c>
    </row>
    <row r="1167" spans="12:13" x14ac:dyDescent="0.3">
      <c r="L1167" s="19" t="s">
        <v>1001</v>
      </c>
      <c r="M1167" s="24" t="s">
        <v>90</v>
      </c>
    </row>
    <row r="1168" spans="12:13" x14ac:dyDescent="0.3">
      <c r="L1168" s="18" t="s">
        <v>1002</v>
      </c>
      <c r="M1168" s="23" t="s">
        <v>90</v>
      </c>
    </row>
    <row r="1169" spans="12:13" x14ac:dyDescent="0.3">
      <c r="L1169" s="19" t="s">
        <v>1003</v>
      </c>
      <c r="M1169" s="24" t="s">
        <v>90</v>
      </c>
    </row>
    <row r="1170" spans="12:13" x14ac:dyDescent="0.3">
      <c r="L1170" s="18" t="s">
        <v>1004</v>
      </c>
      <c r="M1170" s="23" t="s">
        <v>90</v>
      </c>
    </row>
    <row r="1171" spans="12:13" x14ac:dyDescent="0.3">
      <c r="L1171" s="19" t="s">
        <v>1005</v>
      </c>
      <c r="M1171" s="24" t="s">
        <v>90</v>
      </c>
    </row>
    <row r="1172" spans="12:13" x14ac:dyDescent="0.3">
      <c r="L1172" s="18" t="s">
        <v>1006</v>
      </c>
      <c r="M1172" s="23" t="s">
        <v>90</v>
      </c>
    </row>
    <row r="1173" spans="12:13" x14ac:dyDescent="0.3">
      <c r="L1173" s="19" t="s">
        <v>1007</v>
      </c>
      <c r="M1173" s="24" t="s">
        <v>90</v>
      </c>
    </row>
    <row r="1174" spans="12:13" x14ac:dyDescent="0.3">
      <c r="L1174" s="18" t="s">
        <v>1008</v>
      </c>
      <c r="M1174" s="23" t="s">
        <v>90</v>
      </c>
    </row>
    <row r="1175" spans="12:13" x14ac:dyDescent="0.3">
      <c r="L1175" s="19" t="s">
        <v>1009</v>
      </c>
      <c r="M1175" s="24" t="s">
        <v>90</v>
      </c>
    </row>
    <row r="1176" spans="12:13" x14ac:dyDescent="0.3">
      <c r="L1176" s="18" t="s">
        <v>1010</v>
      </c>
      <c r="M1176" s="23" t="s">
        <v>89</v>
      </c>
    </row>
    <row r="1177" spans="12:13" x14ac:dyDescent="0.3">
      <c r="L1177" s="19" t="s">
        <v>1011</v>
      </c>
      <c r="M1177" s="24" t="s">
        <v>89</v>
      </c>
    </row>
    <row r="1178" spans="12:13" x14ac:dyDescent="0.3">
      <c r="L1178" s="18" t="s">
        <v>693</v>
      </c>
      <c r="M1178" s="23" t="s">
        <v>89</v>
      </c>
    </row>
    <row r="1179" spans="12:13" x14ac:dyDescent="0.3">
      <c r="L1179" s="19" t="s">
        <v>231</v>
      </c>
      <c r="M1179" s="24" t="s">
        <v>89</v>
      </c>
    </row>
    <row r="1180" spans="12:13" x14ac:dyDescent="0.3">
      <c r="L1180" s="18" t="s">
        <v>589</v>
      </c>
      <c r="M1180" s="23" t="s">
        <v>89</v>
      </c>
    </row>
    <row r="1181" spans="12:13" x14ac:dyDescent="0.3">
      <c r="L1181" s="19" t="s">
        <v>1012</v>
      </c>
      <c r="M1181" s="24" t="s">
        <v>89</v>
      </c>
    </row>
    <row r="1182" spans="12:13" x14ac:dyDescent="0.3">
      <c r="L1182" s="18" t="s">
        <v>709</v>
      </c>
      <c r="M1182" s="23" t="s">
        <v>89</v>
      </c>
    </row>
    <row r="1183" spans="12:13" x14ac:dyDescent="0.3">
      <c r="L1183" s="19" t="s">
        <v>338</v>
      </c>
      <c r="M1183" s="24" t="s">
        <v>89</v>
      </c>
    </row>
    <row r="1184" spans="12:13" x14ac:dyDescent="0.3">
      <c r="L1184" s="18" t="s">
        <v>1013</v>
      </c>
      <c r="M1184" s="23" t="s">
        <v>89</v>
      </c>
    </row>
    <row r="1185" spans="12:13" x14ac:dyDescent="0.3">
      <c r="L1185" s="19" t="s">
        <v>1014</v>
      </c>
      <c r="M1185" s="24" t="s">
        <v>89</v>
      </c>
    </row>
    <row r="1186" spans="12:13" x14ac:dyDescent="0.3">
      <c r="L1186" s="18" t="s">
        <v>1015</v>
      </c>
      <c r="M1186" s="23" t="s">
        <v>89</v>
      </c>
    </row>
    <row r="1187" spans="12:13" x14ac:dyDescent="0.3">
      <c r="L1187" s="19" t="s">
        <v>1016</v>
      </c>
      <c r="M1187" s="24" t="s">
        <v>89</v>
      </c>
    </row>
    <row r="1188" spans="12:13" x14ac:dyDescent="0.3">
      <c r="L1188" s="18" t="s">
        <v>1017</v>
      </c>
      <c r="M1188" s="23" t="s">
        <v>89</v>
      </c>
    </row>
    <row r="1189" spans="12:13" x14ac:dyDescent="0.3">
      <c r="L1189" s="19" t="s">
        <v>1018</v>
      </c>
      <c r="M1189" s="24" t="s">
        <v>89</v>
      </c>
    </row>
    <row r="1190" spans="12:13" x14ac:dyDescent="0.3">
      <c r="L1190" s="18" t="s">
        <v>266</v>
      </c>
      <c r="M1190" s="23" t="s">
        <v>89</v>
      </c>
    </row>
    <row r="1191" spans="12:13" x14ac:dyDescent="0.3">
      <c r="L1191" s="19" t="s">
        <v>1019</v>
      </c>
      <c r="M1191" s="24" t="s">
        <v>89</v>
      </c>
    </row>
    <row r="1192" spans="12:13" x14ac:dyDescent="0.3">
      <c r="L1192" s="18" t="s">
        <v>1020</v>
      </c>
      <c r="M1192" s="23" t="s">
        <v>88</v>
      </c>
    </row>
    <row r="1193" spans="12:13" x14ac:dyDescent="0.3">
      <c r="L1193" s="19" t="s">
        <v>1021</v>
      </c>
      <c r="M1193" s="24" t="s">
        <v>88</v>
      </c>
    </row>
    <row r="1194" spans="12:13" x14ac:dyDescent="0.3">
      <c r="L1194" s="18" t="s">
        <v>1022</v>
      </c>
      <c r="M1194" s="23" t="s">
        <v>88</v>
      </c>
    </row>
    <row r="1195" spans="12:13" x14ac:dyDescent="0.3">
      <c r="L1195" s="19" t="s">
        <v>1023</v>
      </c>
      <c r="M1195" s="24" t="s">
        <v>88</v>
      </c>
    </row>
    <row r="1196" spans="12:13" x14ac:dyDescent="0.3">
      <c r="L1196" s="18" t="s">
        <v>1024</v>
      </c>
      <c r="M1196" s="23" t="s">
        <v>88</v>
      </c>
    </row>
    <row r="1197" spans="12:13" x14ac:dyDescent="0.3">
      <c r="L1197" s="19" t="s">
        <v>315</v>
      </c>
      <c r="M1197" s="24" t="s">
        <v>88</v>
      </c>
    </row>
    <row r="1198" spans="12:13" x14ac:dyDescent="0.3">
      <c r="L1198" s="18" t="s">
        <v>1025</v>
      </c>
      <c r="M1198" s="23" t="s">
        <v>88</v>
      </c>
    </row>
    <row r="1199" spans="12:13" x14ac:dyDescent="0.3">
      <c r="L1199" s="19" t="s">
        <v>1026</v>
      </c>
      <c r="M1199" s="24" t="s">
        <v>88</v>
      </c>
    </row>
    <row r="1200" spans="12:13" x14ac:dyDescent="0.3">
      <c r="L1200" s="18" t="s">
        <v>1027</v>
      </c>
      <c r="M1200" s="23" t="s">
        <v>88</v>
      </c>
    </row>
    <row r="1201" spans="12:13" x14ac:dyDescent="0.3">
      <c r="L1201" s="19" t="s">
        <v>1028</v>
      </c>
      <c r="M1201" s="24" t="s">
        <v>88</v>
      </c>
    </row>
    <row r="1202" spans="12:13" x14ac:dyDescent="0.3">
      <c r="L1202" s="18" t="s">
        <v>1029</v>
      </c>
      <c r="M1202" s="23" t="s">
        <v>88</v>
      </c>
    </row>
    <row r="1203" spans="12:13" x14ac:dyDescent="0.3">
      <c r="L1203" s="19" t="s">
        <v>1030</v>
      </c>
      <c r="M1203" s="24" t="s">
        <v>88</v>
      </c>
    </row>
    <row r="1204" spans="12:13" x14ac:dyDescent="0.3">
      <c r="L1204" s="18" t="s">
        <v>333</v>
      </c>
      <c r="M1204" s="23" t="s">
        <v>88</v>
      </c>
    </row>
    <row r="1205" spans="12:13" x14ac:dyDescent="0.3">
      <c r="L1205" s="19" t="s">
        <v>484</v>
      </c>
      <c r="M1205" s="24" t="s">
        <v>88</v>
      </c>
    </row>
    <row r="1206" spans="12:13" x14ac:dyDescent="0.3">
      <c r="L1206" s="18" t="s">
        <v>252</v>
      </c>
      <c r="M1206" s="23" t="s">
        <v>88</v>
      </c>
    </row>
    <row r="1207" spans="12:13" x14ac:dyDescent="0.3">
      <c r="L1207" s="19" t="s">
        <v>1031</v>
      </c>
      <c r="M1207" s="24" t="s">
        <v>88</v>
      </c>
    </row>
    <row r="1208" spans="12:13" x14ac:dyDescent="0.3">
      <c r="L1208" s="18" t="s">
        <v>1032</v>
      </c>
      <c r="M1208" s="23" t="s">
        <v>88</v>
      </c>
    </row>
    <row r="1209" spans="12:13" x14ac:dyDescent="0.3">
      <c r="L1209" s="19" t="s">
        <v>1033</v>
      </c>
      <c r="M1209" s="24" t="s">
        <v>88</v>
      </c>
    </row>
    <row r="1210" spans="12:13" x14ac:dyDescent="0.3">
      <c r="L1210" s="18" t="s">
        <v>1017</v>
      </c>
      <c r="M1210" s="23" t="s">
        <v>88</v>
      </c>
    </row>
    <row r="1211" spans="12:13" x14ac:dyDescent="0.3">
      <c r="L1211" s="19" t="s">
        <v>623</v>
      </c>
      <c r="M1211" s="24" t="s">
        <v>88</v>
      </c>
    </row>
    <row r="1212" spans="12:13" x14ac:dyDescent="0.3">
      <c r="L1212" s="18" t="s">
        <v>266</v>
      </c>
      <c r="M1212" s="23" t="s">
        <v>88</v>
      </c>
    </row>
    <row r="1213" spans="12:13" x14ac:dyDescent="0.3">
      <c r="L1213" s="19" t="s">
        <v>1034</v>
      </c>
      <c r="M1213" s="24" t="s">
        <v>88</v>
      </c>
    </row>
    <row r="1214" spans="12:13" x14ac:dyDescent="0.3">
      <c r="L1214" s="18" t="s">
        <v>1035</v>
      </c>
      <c r="M1214" s="23" t="s">
        <v>88</v>
      </c>
    </row>
    <row r="1215" spans="12:13" x14ac:dyDescent="0.3">
      <c r="L1215" s="19" t="s">
        <v>1036</v>
      </c>
      <c r="M1215" s="24" t="s">
        <v>88</v>
      </c>
    </row>
    <row r="1216" spans="12:13" x14ac:dyDescent="0.3">
      <c r="L1216" s="18" t="s">
        <v>1037</v>
      </c>
      <c r="M1216" s="23" t="s">
        <v>87</v>
      </c>
    </row>
    <row r="1217" spans="12:13" x14ac:dyDescent="0.3">
      <c r="L1217" s="19" t="s">
        <v>1038</v>
      </c>
      <c r="M1217" s="24" t="s">
        <v>87</v>
      </c>
    </row>
    <row r="1218" spans="12:13" x14ac:dyDescent="0.3">
      <c r="L1218" s="18" t="s">
        <v>1039</v>
      </c>
      <c r="M1218" s="23" t="s">
        <v>87</v>
      </c>
    </row>
    <row r="1219" spans="12:13" x14ac:dyDescent="0.3">
      <c r="L1219" s="19" t="s">
        <v>1040</v>
      </c>
      <c r="M1219" s="24" t="s">
        <v>87</v>
      </c>
    </row>
    <row r="1220" spans="12:13" x14ac:dyDescent="0.3">
      <c r="L1220" s="18" t="s">
        <v>1041</v>
      </c>
      <c r="M1220" s="23" t="s">
        <v>87</v>
      </c>
    </row>
    <row r="1221" spans="12:13" x14ac:dyDescent="0.3">
      <c r="L1221" s="19" t="s">
        <v>231</v>
      </c>
      <c r="M1221" s="24" t="s">
        <v>87</v>
      </c>
    </row>
    <row r="1222" spans="12:13" x14ac:dyDescent="0.3">
      <c r="L1222" s="18" t="s">
        <v>1042</v>
      </c>
      <c r="M1222" s="23" t="s">
        <v>87</v>
      </c>
    </row>
    <row r="1223" spans="12:13" x14ac:dyDescent="0.3">
      <c r="L1223" s="19" t="s">
        <v>1043</v>
      </c>
      <c r="M1223" s="24" t="s">
        <v>87</v>
      </c>
    </row>
    <row r="1224" spans="12:13" x14ac:dyDescent="0.3">
      <c r="L1224" s="18" t="s">
        <v>479</v>
      </c>
      <c r="M1224" s="23" t="s">
        <v>87</v>
      </c>
    </row>
    <row r="1225" spans="12:13" x14ac:dyDescent="0.3">
      <c r="L1225" s="19" t="s">
        <v>1044</v>
      </c>
      <c r="M1225" s="24" t="s">
        <v>87</v>
      </c>
    </row>
    <row r="1226" spans="12:13" x14ac:dyDescent="0.3">
      <c r="L1226" s="18" t="s">
        <v>1045</v>
      </c>
      <c r="M1226" s="23" t="s">
        <v>87</v>
      </c>
    </row>
    <row r="1227" spans="12:13" x14ac:dyDescent="0.3">
      <c r="L1227" s="19" t="s">
        <v>811</v>
      </c>
      <c r="M1227" s="24" t="s">
        <v>87</v>
      </c>
    </row>
    <row r="1228" spans="12:13" x14ac:dyDescent="0.3">
      <c r="L1228" s="18" t="s">
        <v>1046</v>
      </c>
      <c r="M1228" s="23" t="s">
        <v>87</v>
      </c>
    </row>
    <row r="1229" spans="12:13" x14ac:dyDescent="0.3">
      <c r="L1229" s="19" t="s">
        <v>1035</v>
      </c>
      <c r="M1229" s="24" t="s">
        <v>87</v>
      </c>
    </row>
    <row r="1230" spans="12:13" x14ac:dyDescent="0.3">
      <c r="L1230" s="18" t="s">
        <v>1047</v>
      </c>
      <c r="M1230" s="23" t="s">
        <v>86</v>
      </c>
    </row>
    <row r="1231" spans="12:13" x14ac:dyDescent="0.3">
      <c r="L1231" s="19" t="s">
        <v>1048</v>
      </c>
      <c r="M1231" s="24" t="s">
        <v>86</v>
      </c>
    </row>
    <row r="1232" spans="12:13" x14ac:dyDescent="0.3">
      <c r="L1232" s="18" t="s">
        <v>1049</v>
      </c>
      <c r="M1232" s="23" t="s">
        <v>86</v>
      </c>
    </row>
    <row r="1233" spans="12:13" x14ac:dyDescent="0.3">
      <c r="L1233" s="19" t="s">
        <v>1050</v>
      </c>
      <c r="M1233" s="24" t="s">
        <v>86</v>
      </c>
    </row>
    <row r="1234" spans="12:13" x14ac:dyDescent="0.3">
      <c r="L1234" s="18" t="s">
        <v>1051</v>
      </c>
      <c r="M1234" s="23" t="s">
        <v>86</v>
      </c>
    </row>
    <row r="1235" spans="12:13" x14ac:dyDescent="0.3">
      <c r="L1235" s="19" t="s">
        <v>1052</v>
      </c>
      <c r="M1235" s="24" t="s">
        <v>86</v>
      </c>
    </row>
    <row r="1236" spans="12:13" x14ac:dyDescent="0.3">
      <c r="L1236" s="18" t="s">
        <v>1053</v>
      </c>
      <c r="M1236" s="23" t="s">
        <v>86</v>
      </c>
    </row>
    <row r="1237" spans="12:13" x14ac:dyDescent="0.3">
      <c r="L1237" s="19" t="s">
        <v>1054</v>
      </c>
      <c r="M1237" s="24" t="s">
        <v>86</v>
      </c>
    </row>
    <row r="1238" spans="12:13" x14ac:dyDescent="0.3">
      <c r="L1238" s="18" t="s">
        <v>491</v>
      </c>
      <c r="M1238" s="23" t="s">
        <v>86</v>
      </c>
    </row>
    <row r="1239" spans="12:13" x14ac:dyDescent="0.3">
      <c r="L1239" s="19" t="s">
        <v>1055</v>
      </c>
      <c r="M1239" s="24" t="s">
        <v>86</v>
      </c>
    </row>
    <row r="1240" spans="12:13" x14ac:dyDescent="0.3">
      <c r="L1240" s="18" t="s">
        <v>545</v>
      </c>
      <c r="M1240" s="23" t="s">
        <v>86</v>
      </c>
    </row>
    <row r="1241" spans="12:13" x14ac:dyDescent="0.3">
      <c r="L1241" s="19" t="s">
        <v>1056</v>
      </c>
      <c r="M1241" s="24" t="s">
        <v>86</v>
      </c>
    </row>
    <row r="1242" spans="12:13" x14ac:dyDescent="0.3">
      <c r="L1242" s="18" t="s">
        <v>209</v>
      </c>
      <c r="M1242" s="23" t="s">
        <v>86</v>
      </c>
    </row>
    <row r="1243" spans="12:13" x14ac:dyDescent="0.3">
      <c r="L1243" s="19" t="s">
        <v>688</v>
      </c>
      <c r="M1243" s="24" t="s">
        <v>86</v>
      </c>
    </row>
    <row r="1244" spans="12:13" x14ac:dyDescent="0.3">
      <c r="L1244" s="18" t="s">
        <v>1057</v>
      </c>
      <c r="M1244" s="23" t="s">
        <v>86</v>
      </c>
    </row>
    <row r="1245" spans="12:13" x14ac:dyDescent="0.3">
      <c r="L1245" s="19" t="s">
        <v>1058</v>
      </c>
      <c r="M1245" s="24" t="s">
        <v>86</v>
      </c>
    </row>
    <row r="1246" spans="12:13" x14ac:dyDescent="0.3">
      <c r="L1246" s="18" t="s">
        <v>1059</v>
      </c>
      <c r="M1246" s="23" t="s">
        <v>86</v>
      </c>
    </row>
    <row r="1247" spans="12:13" x14ac:dyDescent="0.3">
      <c r="L1247" s="19" t="s">
        <v>1060</v>
      </c>
      <c r="M1247" s="24" t="s">
        <v>86</v>
      </c>
    </row>
    <row r="1248" spans="12:13" x14ac:dyDescent="0.3">
      <c r="L1248" s="18" t="s">
        <v>691</v>
      </c>
      <c r="M1248" s="23" t="s">
        <v>86</v>
      </c>
    </row>
    <row r="1249" spans="12:13" x14ac:dyDescent="0.3">
      <c r="L1249" s="19" t="s">
        <v>322</v>
      </c>
      <c r="M1249" s="24" t="s">
        <v>86</v>
      </c>
    </row>
    <row r="1250" spans="12:13" x14ac:dyDescent="0.3">
      <c r="L1250" s="18" t="s">
        <v>436</v>
      </c>
      <c r="M1250" s="23" t="s">
        <v>86</v>
      </c>
    </row>
    <row r="1251" spans="12:13" x14ac:dyDescent="0.3">
      <c r="L1251" s="19" t="s">
        <v>792</v>
      </c>
      <c r="M1251" s="24" t="s">
        <v>86</v>
      </c>
    </row>
    <row r="1252" spans="12:13" x14ac:dyDescent="0.3">
      <c r="L1252" s="18" t="s">
        <v>1061</v>
      </c>
      <c r="M1252" s="23" t="s">
        <v>86</v>
      </c>
    </row>
    <row r="1253" spans="12:13" x14ac:dyDescent="0.3">
      <c r="L1253" s="19" t="s">
        <v>794</v>
      </c>
      <c r="M1253" s="24" t="s">
        <v>86</v>
      </c>
    </row>
    <row r="1254" spans="12:13" x14ac:dyDescent="0.3">
      <c r="L1254" s="18" t="s">
        <v>1062</v>
      </c>
      <c r="M1254" s="23" t="s">
        <v>86</v>
      </c>
    </row>
    <row r="1255" spans="12:13" x14ac:dyDescent="0.3">
      <c r="L1255" s="19" t="s">
        <v>1063</v>
      </c>
      <c r="M1255" s="24" t="s">
        <v>86</v>
      </c>
    </row>
    <row r="1256" spans="12:13" x14ac:dyDescent="0.3">
      <c r="L1256" s="18" t="s">
        <v>1064</v>
      </c>
      <c r="M1256" s="23" t="s">
        <v>86</v>
      </c>
    </row>
    <row r="1257" spans="12:13" x14ac:dyDescent="0.3">
      <c r="L1257" s="19" t="s">
        <v>1065</v>
      </c>
      <c r="M1257" s="24" t="s">
        <v>86</v>
      </c>
    </row>
    <row r="1258" spans="12:13" x14ac:dyDescent="0.3">
      <c r="L1258" s="18" t="s">
        <v>1066</v>
      </c>
      <c r="M1258" s="23" t="s">
        <v>86</v>
      </c>
    </row>
    <row r="1259" spans="12:13" x14ac:dyDescent="0.3">
      <c r="L1259" s="19" t="s">
        <v>1067</v>
      </c>
      <c r="M1259" s="24" t="s">
        <v>86</v>
      </c>
    </row>
    <row r="1260" spans="12:13" x14ac:dyDescent="0.3">
      <c r="L1260" s="18" t="s">
        <v>1068</v>
      </c>
      <c r="M1260" s="23" t="s">
        <v>86</v>
      </c>
    </row>
    <row r="1261" spans="12:13" x14ac:dyDescent="0.3">
      <c r="L1261" s="19" t="s">
        <v>1069</v>
      </c>
      <c r="M1261" s="24" t="s">
        <v>86</v>
      </c>
    </row>
    <row r="1262" spans="12:13" x14ac:dyDescent="0.3">
      <c r="L1262" s="18" t="s">
        <v>1070</v>
      </c>
      <c r="M1262" s="23" t="s">
        <v>86</v>
      </c>
    </row>
    <row r="1263" spans="12:13" x14ac:dyDescent="0.3">
      <c r="L1263" s="19" t="s">
        <v>1071</v>
      </c>
      <c r="M1263" s="24" t="s">
        <v>86</v>
      </c>
    </row>
    <row r="1264" spans="12:13" x14ac:dyDescent="0.3">
      <c r="L1264" s="18" t="s">
        <v>1072</v>
      </c>
      <c r="M1264" s="23" t="s">
        <v>86</v>
      </c>
    </row>
    <row r="1265" spans="12:13" x14ac:dyDescent="0.3">
      <c r="L1265" s="19" t="s">
        <v>1073</v>
      </c>
      <c r="M1265" s="24" t="s">
        <v>86</v>
      </c>
    </row>
    <row r="1266" spans="12:13" x14ac:dyDescent="0.3">
      <c r="L1266" s="18" t="s">
        <v>1074</v>
      </c>
      <c r="M1266" s="23" t="s">
        <v>86</v>
      </c>
    </row>
    <row r="1267" spans="12:13" x14ac:dyDescent="0.3">
      <c r="L1267" s="19" t="s">
        <v>237</v>
      </c>
      <c r="M1267" s="24" t="s">
        <v>86</v>
      </c>
    </row>
    <row r="1268" spans="12:13" x14ac:dyDescent="0.3">
      <c r="L1268" s="18" t="s">
        <v>1075</v>
      </c>
      <c r="M1268" s="23" t="s">
        <v>86</v>
      </c>
    </row>
    <row r="1269" spans="12:13" x14ac:dyDescent="0.3">
      <c r="L1269" s="19" t="s">
        <v>1076</v>
      </c>
      <c r="M1269" s="24" t="s">
        <v>86</v>
      </c>
    </row>
    <row r="1270" spans="12:13" x14ac:dyDescent="0.3">
      <c r="L1270" s="18" t="s">
        <v>484</v>
      </c>
      <c r="M1270" s="23" t="s">
        <v>86</v>
      </c>
    </row>
    <row r="1271" spans="12:13" x14ac:dyDescent="0.3">
      <c r="L1271" s="19" t="s">
        <v>1077</v>
      </c>
      <c r="M1271" s="24" t="s">
        <v>86</v>
      </c>
    </row>
    <row r="1272" spans="12:13" x14ac:dyDescent="0.3">
      <c r="L1272" s="18" t="s">
        <v>382</v>
      </c>
      <c r="M1272" s="23" t="s">
        <v>86</v>
      </c>
    </row>
    <row r="1273" spans="12:13" x14ac:dyDescent="0.3">
      <c r="L1273" s="19" t="s">
        <v>1078</v>
      </c>
      <c r="M1273" s="24" t="s">
        <v>86</v>
      </c>
    </row>
    <row r="1274" spans="12:13" x14ac:dyDescent="0.3">
      <c r="L1274" s="18" t="s">
        <v>1079</v>
      </c>
      <c r="M1274" s="23" t="s">
        <v>86</v>
      </c>
    </row>
    <row r="1275" spans="12:13" x14ac:dyDescent="0.3">
      <c r="L1275" s="19" t="s">
        <v>1080</v>
      </c>
      <c r="M1275" s="24" t="s">
        <v>86</v>
      </c>
    </row>
    <row r="1276" spans="12:13" x14ac:dyDescent="0.3">
      <c r="L1276" s="18" t="s">
        <v>711</v>
      </c>
      <c r="M1276" s="23" t="s">
        <v>86</v>
      </c>
    </row>
    <row r="1277" spans="12:13" x14ac:dyDescent="0.3">
      <c r="L1277" s="19" t="s">
        <v>1081</v>
      </c>
      <c r="M1277" s="24" t="s">
        <v>86</v>
      </c>
    </row>
    <row r="1278" spans="12:13" x14ac:dyDescent="0.3">
      <c r="L1278" s="18" t="s">
        <v>1082</v>
      </c>
      <c r="M1278" s="23" t="s">
        <v>86</v>
      </c>
    </row>
    <row r="1279" spans="12:13" x14ac:dyDescent="0.3">
      <c r="L1279" s="19" t="s">
        <v>1083</v>
      </c>
      <c r="M1279" s="24" t="s">
        <v>86</v>
      </c>
    </row>
    <row r="1280" spans="12:13" x14ac:dyDescent="0.3">
      <c r="L1280" s="18" t="s">
        <v>1084</v>
      </c>
      <c r="M1280" s="23" t="s">
        <v>86</v>
      </c>
    </row>
    <row r="1281" spans="12:13" x14ac:dyDescent="0.3">
      <c r="L1281" s="19" t="s">
        <v>1085</v>
      </c>
      <c r="M1281" s="24" t="s">
        <v>86</v>
      </c>
    </row>
    <row r="1282" spans="12:13" x14ac:dyDescent="0.3">
      <c r="L1282" s="18" t="s">
        <v>716</v>
      </c>
      <c r="M1282" s="23" t="s">
        <v>86</v>
      </c>
    </row>
    <row r="1283" spans="12:13" x14ac:dyDescent="0.3">
      <c r="L1283" s="19" t="s">
        <v>1086</v>
      </c>
      <c r="M1283" s="24" t="s">
        <v>86</v>
      </c>
    </row>
    <row r="1284" spans="12:13" x14ac:dyDescent="0.3">
      <c r="L1284" s="18" t="s">
        <v>1087</v>
      </c>
      <c r="M1284" s="23" t="s">
        <v>86</v>
      </c>
    </row>
    <row r="1285" spans="12:13" x14ac:dyDescent="0.3">
      <c r="L1285" s="19" t="s">
        <v>1088</v>
      </c>
      <c r="M1285" s="24" t="s">
        <v>86</v>
      </c>
    </row>
    <row r="1286" spans="12:13" x14ac:dyDescent="0.3">
      <c r="L1286" s="18" t="s">
        <v>1089</v>
      </c>
      <c r="M1286" s="23" t="s">
        <v>86</v>
      </c>
    </row>
    <row r="1287" spans="12:13" x14ac:dyDescent="0.3">
      <c r="L1287" s="19" t="s">
        <v>251</v>
      </c>
      <c r="M1287" s="24" t="s">
        <v>86</v>
      </c>
    </row>
    <row r="1288" spans="12:13" x14ac:dyDescent="0.3">
      <c r="L1288" s="18" t="s">
        <v>1090</v>
      </c>
      <c r="M1288" s="23" t="s">
        <v>86</v>
      </c>
    </row>
    <row r="1289" spans="12:13" x14ac:dyDescent="0.3">
      <c r="L1289" s="19" t="s">
        <v>1091</v>
      </c>
      <c r="M1289" s="24" t="s">
        <v>86</v>
      </c>
    </row>
    <row r="1290" spans="12:13" x14ac:dyDescent="0.3">
      <c r="L1290" s="18" t="s">
        <v>1092</v>
      </c>
      <c r="M1290" s="23" t="s">
        <v>86</v>
      </c>
    </row>
    <row r="1291" spans="12:13" x14ac:dyDescent="0.3">
      <c r="L1291" s="19" t="s">
        <v>1093</v>
      </c>
      <c r="M1291" s="24" t="s">
        <v>86</v>
      </c>
    </row>
    <row r="1292" spans="12:13" x14ac:dyDescent="0.3">
      <c r="L1292" s="18" t="s">
        <v>1094</v>
      </c>
      <c r="M1292" s="23" t="s">
        <v>86</v>
      </c>
    </row>
    <row r="1293" spans="12:13" x14ac:dyDescent="0.3">
      <c r="L1293" s="19" t="s">
        <v>1095</v>
      </c>
      <c r="M1293" s="24" t="s">
        <v>86</v>
      </c>
    </row>
    <row r="1294" spans="12:13" x14ac:dyDescent="0.3">
      <c r="L1294" s="18" t="s">
        <v>1096</v>
      </c>
      <c r="M1294" s="23" t="s">
        <v>86</v>
      </c>
    </row>
    <row r="1295" spans="12:13" x14ac:dyDescent="0.3">
      <c r="L1295" s="19" t="s">
        <v>1097</v>
      </c>
      <c r="M1295" s="24" t="s">
        <v>86</v>
      </c>
    </row>
    <row r="1296" spans="12:13" x14ac:dyDescent="0.3">
      <c r="L1296" s="18" t="s">
        <v>523</v>
      </c>
      <c r="M1296" s="23" t="s">
        <v>86</v>
      </c>
    </row>
    <row r="1297" spans="12:13" x14ac:dyDescent="0.3">
      <c r="L1297" s="19" t="s">
        <v>1098</v>
      </c>
      <c r="M1297" s="24" t="s">
        <v>86</v>
      </c>
    </row>
    <row r="1298" spans="12:13" x14ac:dyDescent="0.3">
      <c r="L1298" s="18" t="s">
        <v>1099</v>
      </c>
      <c r="M1298" s="23" t="s">
        <v>86</v>
      </c>
    </row>
    <row r="1299" spans="12:13" x14ac:dyDescent="0.3">
      <c r="L1299" s="19" t="s">
        <v>865</v>
      </c>
      <c r="M1299" s="24" t="s">
        <v>86</v>
      </c>
    </row>
    <row r="1300" spans="12:13" x14ac:dyDescent="0.3">
      <c r="L1300" s="18" t="s">
        <v>1100</v>
      </c>
      <c r="M1300" s="23" t="s">
        <v>86</v>
      </c>
    </row>
    <row r="1301" spans="12:13" x14ac:dyDescent="0.3">
      <c r="L1301" s="19" t="s">
        <v>1101</v>
      </c>
      <c r="M1301" s="24" t="s">
        <v>86</v>
      </c>
    </row>
    <row r="1302" spans="12:13" x14ac:dyDescent="0.3">
      <c r="L1302" s="18" t="s">
        <v>1102</v>
      </c>
      <c r="M1302" s="23" t="s">
        <v>86</v>
      </c>
    </row>
    <row r="1303" spans="12:13" x14ac:dyDescent="0.3">
      <c r="L1303" s="19" t="s">
        <v>259</v>
      </c>
      <c r="M1303" s="24" t="s">
        <v>86</v>
      </c>
    </row>
    <row r="1304" spans="12:13" x14ac:dyDescent="0.3">
      <c r="L1304" s="18" t="s">
        <v>765</v>
      </c>
      <c r="M1304" s="23" t="s">
        <v>86</v>
      </c>
    </row>
    <row r="1305" spans="12:13" x14ac:dyDescent="0.3">
      <c r="L1305" s="19" t="s">
        <v>1103</v>
      </c>
      <c r="M1305" s="24" t="s">
        <v>86</v>
      </c>
    </row>
    <row r="1306" spans="12:13" x14ac:dyDescent="0.3">
      <c r="L1306" s="18" t="s">
        <v>1104</v>
      </c>
      <c r="M1306" s="23" t="s">
        <v>86</v>
      </c>
    </row>
    <row r="1307" spans="12:13" x14ac:dyDescent="0.3">
      <c r="L1307" s="19" t="s">
        <v>1105</v>
      </c>
      <c r="M1307" s="24" t="s">
        <v>86</v>
      </c>
    </row>
    <row r="1308" spans="12:13" x14ac:dyDescent="0.3">
      <c r="L1308" s="18" t="s">
        <v>1106</v>
      </c>
      <c r="M1308" s="23" t="s">
        <v>86</v>
      </c>
    </row>
    <row r="1309" spans="12:13" x14ac:dyDescent="0.3">
      <c r="L1309" s="19" t="s">
        <v>362</v>
      </c>
      <c r="M1309" s="24" t="s">
        <v>86</v>
      </c>
    </row>
    <row r="1310" spans="12:13" x14ac:dyDescent="0.3">
      <c r="L1310" s="18" t="s">
        <v>1107</v>
      </c>
      <c r="M1310" s="23" t="s">
        <v>86</v>
      </c>
    </row>
    <row r="1311" spans="12:13" x14ac:dyDescent="0.3">
      <c r="L1311" s="19" t="s">
        <v>639</v>
      </c>
      <c r="M1311" s="24" t="s">
        <v>86</v>
      </c>
    </row>
    <row r="1312" spans="12:13" x14ac:dyDescent="0.3">
      <c r="L1312" s="18" t="s">
        <v>1108</v>
      </c>
      <c r="M1312" s="23" t="s">
        <v>86</v>
      </c>
    </row>
    <row r="1313" spans="12:13" x14ac:dyDescent="0.3">
      <c r="L1313" s="19" t="s">
        <v>1109</v>
      </c>
      <c r="M1313" s="24" t="s">
        <v>85</v>
      </c>
    </row>
    <row r="1314" spans="12:13" x14ac:dyDescent="0.3">
      <c r="L1314" s="18" t="s">
        <v>1110</v>
      </c>
      <c r="M1314" s="23" t="s">
        <v>85</v>
      </c>
    </row>
    <row r="1315" spans="12:13" x14ac:dyDescent="0.3">
      <c r="L1315" s="19" t="s">
        <v>1111</v>
      </c>
      <c r="M1315" s="24" t="s">
        <v>85</v>
      </c>
    </row>
    <row r="1316" spans="12:13" x14ac:dyDescent="0.3">
      <c r="L1316" s="18" t="s">
        <v>1112</v>
      </c>
      <c r="M1316" s="23" t="s">
        <v>85</v>
      </c>
    </row>
    <row r="1317" spans="12:13" x14ac:dyDescent="0.3">
      <c r="L1317" s="19" t="s">
        <v>312</v>
      </c>
      <c r="M1317" s="24" t="s">
        <v>85</v>
      </c>
    </row>
    <row r="1318" spans="12:13" x14ac:dyDescent="0.3">
      <c r="L1318" s="18" t="s">
        <v>1113</v>
      </c>
      <c r="M1318" s="23" t="s">
        <v>85</v>
      </c>
    </row>
    <row r="1319" spans="12:13" x14ac:dyDescent="0.3">
      <c r="L1319" s="19" t="s">
        <v>1114</v>
      </c>
      <c r="M1319" s="24" t="s">
        <v>85</v>
      </c>
    </row>
    <row r="1320" spans="12:13" x14ac:dyDescent="0.3">
      <c r="L1320" s="18" t="s">
        <v>686</v>
      </c>
      <c r="M1320" s="23" t="s">
        <v>85</v>
      </c>
    </row>
    <row r="1321" spans="12:13" x14ac:dyDescent="0.3">
      <c r="L1321" s="19" t="s">
        <v>1115</v>
      </c>
      <c r="M1321" s="24" t="s">
        <v>85</v>
      </c>
    </row>
    <row r="1322" spans="12:13" x14ac:dyDescent="0.3">
      <c r="L1322" s="18" t="s">
        <v>1116</v>
      </c>
      <c r="M1322" s="23" t="s">
        <v>85</v>
      </c>
    </row>
    <row r="1323" spans="12:13" x14ac:dyDescent="0.3">
      <c r="L1323" s="19" t="s">
        <v>688</v>
      </c>
      <c r="M1323" s="24" t="s">
        <v>85</v>
      </c>
    </row>
    <row r="1324" spans="12:13" x14ac:dyDescent="0.3">
      <c r="L1324" s="18" t="s">
        <v>1059</v>
      </c>
      <c r="M1324" s="23" t="s">
        <v>85</v>
      </c>
    </row>
    <row r="1325" spans="12:13" x14ac:dyDescent="0.3">
      <c r="L1325" s="19" t="s">
        <v>1117</v>
      </c>
      <c r="M1325" s="24" t="s">
        <v>85</v>
      </c>
    </row>
    <row r="1326" spans="12:13" x14ac:dyDescent="0.3">
      <c r="L1326" s="18" t="s">
        <v>215</v>
      </c>
      <c r="M1326" s="23" t="s">
        <v>85</v>
      </c>
    </row>
    <row r="1327" spans="12:13" x14ac:dyDescent="0.3">
      <c r="L1327" s="19" t="s">
        <v>665</v>
      </c>
      <c r="M1327" s="24" t="s">
        <v>85</v>
      </c>
    </row>
    <row r="1328" spans="12:13" x14ac:dyDescent="0.3">
      <c r="L1328" s="18" t="s">
        <v>564</v>
      </c>
      <c r="M1328" s="23" t="s">
        <v>85</v>
      </c>
    </row>
    <row r="1329" spans="12:13" x14ac:dyDescent="0.3">
      <c r="L1329" s="19" t="s">
        <v>1118</v>
      </c>
      <c r="M1329" s="24" t="s">
        <v>85</v>
      </c>
    </row>
    <row r="1330" spans="12:13" x14ac:dyDescent="0.3">
      <c r="L1330" s="18" t="s">
        <v>1119</v>
      </c>
      <c r="M1330" s="23" t="s">
        <v>85</v>
      </c>
    </row>
    <row r="1331" spans="12:13" x14ac:dyDescent="0.3">
      <c r="L1331" s="19" t="s">
        <v>1120</v>
      </c>
      <c r="M1331" s="24" t="s">
        <v>85</v>
      </c>
    </row>
    <row r="1332" spans="12:13" x14ac:dyDescent="0.3">
      <c r="L1332" s="18" t="s">
        <v>570</v>
      </c>
      <c r="M1332" s="23" t="s">
        <v>85</v>
      </c>
    </row>
    <row r="1333" spans="12:13" x14ac:dyDescent="0.3">
      <c r="L1333" s="19" t="s">
        <v>439</v>
      </c>
      <c r="M1333" s="24" t="s">
        <v>85</v>
      </c>
    </row>
    <row r="1334" spans="12:13" x14ac:dyDescent="0.3">
      <c r="L1334" s="18" t="s">
        <v>1121</v>
      </c>
      <c r="M1334" s="23" t="s">
        <v>85</v>
      </c>
    </row>
    <row r="1335" spans="12:13" x14ac:dyDescent="0.3">
      <c r="L1335" s="19" t="s">
        <v>1122</v>
      </c>
      <c r="M1335" s="24" t="s">
        <v>85</v>
      </c>
    </row>
    <row r="1336" spans="12:13" x14ac:dyDescent="0.3">
      <c r="L1336" s="18" t="s">
        <v>1123</v>
      </c>
      <c r="M1336" s="23" t="s">
        <v>85</v>
      </c>
    </row>
    <row r="1337" spans="12:13" x14ac:dyDescent="0.3">
      <c r="L1337" s="19" t="s">
        <v>1124</v>
      </c>
      <c r="M1337" s="24" t="s">
        <v>85</v>
      </c>
    </row>
    <row r="1338" spans="12:13" x14ac:dyDescent="0.3">
      <c r="L1338" s="18" t="s">
        <v>330</v>
      </c>
      <c r="M1338" s="23" t="s">
        <v>85</v>
      </c>
    </row>
    <row r="1339" spans="12:13" x14ac:dyDescent="0.3">
      <c r="L1339" s="19" t="s">
        <v>1125</v>
      </c>
      <c r="M1339" s="24" t="s">
        <v>85</v>
      </c>
    </row>
    <row r="1340" spans="12:13" x14ac:dyDescent="0.3">
      <c r="L1340" s="18" t="s">
        <v>236</v>
      </c>
      <c r="M1340" s="23" t="s">
        <v>85</v>
      </c>
    </row>
    <row r="1341" spans="12:13" x14ac:dyDescent="0.3">
      <c r="L1341" s="19" t="s">
        <v>1126</v>
      </c>
      <c r="M1341" s="24" t="s">
        <v>85</v>
      </c>
    </row>
    <row r="1342" spans="12:13" x14ac:dyDescent="0.3">
      <c r="L1342" s="18" t="s">
        <v>1127</v>
      </c>
      <c r="M1342" s="23" t="s">
        <v>85</v>
      </c>
    </row>
    <row r="1343" spans="12:13" x14ac:dyDescent="0.3">
      <c r="L1343" s="19" t="s">
        <v>1128</v>
      </c>
      <c r="M1343" s="24" t="s">
        <v>85</v>
      </c>
    </row>
    <row r="1344" spans="12:13" x14ac:dyDescent="0.3">
      <c r="L1344" s="18" t="s">
        <v>237</v>
      </c>
      <c r="M1344" s="23" t="s">
        <v>85</v>
      </c>
    </row>
    <row r="1345" spans="12:13" x14ac:dyDescent="0.3">
      <c r="L1345" s="19" t="s">
        <v>1129</v>
      </c>
      <c r="M1345" s="24" t="s">
        <v>85</v>
      </c>
    </row>
    <row r="1346" spans="12:13" x14ac:dyDescent="0.3">
      <c r="L1346" s="18" t="s">
        <v>1130</v>
      </c>
      <c r="M1346" s="23" t="s">
        <v>85</v>
      </c>
    </row>
    <row r="1347" spans="12:13" x14ac:dyDescent="0.3">
      <c r="L1347" s="19" t="s">
        <v>1131</v>
      </c>
      <c r="M1347" s="24" t="s">
        <v>85</v>
      </c>
    </row>
    <row r="1348" spans="12:13" x14ac:dyDescent="0.3">
      <c r="L1348" s="18" t="s">
        <v>1132</v>
      </c>
      <c r="M1348" s="23" t="s">
        <v>85</v>
      </c>
    </row>
    <row r="1349" spans="12:13" x14ac:dyDescent="0.3">
      <c r="L1349" s="19" t="s">
        <v>1133</v>
      </c>
      <c r="M1349" s="24" t="s">
        <v>85</v>
      </c>
    </row>
    <row r="1350" spans="12:13" x14ac:dyDescent="0.3">
      <c r="L1350" s="18" t="s">
        <v>382</v>
      </c>
      <c r="M1350" s="23" t="s">
        <v>85</v>
      </c>
    </row>
    <row r="1351" spans="12:13" x14ac:dyDescent="0.3">
      <c r="L1351" s="19" t="s">
        <v>1134</v>
      </c>
      <c r="M1351" s="24" t="s">
        <v>85</v>
      </c>
    </row>
    <row r="1352" spans="12:13" x14ac:dyDescent="0.3">
      <c r="L1352" s="18" t="s">
        <v>1135</v>
      </c>
      <c r="M1352" s="23" t="s">
        <v>85</v>
      </c>
    </row>
    <row r="1353" spans="12:13" x14ac:dyDescent="0.3">
      <c r="L1353" s="19" t="s">
        <v>338</v>
      </c>
      <c r="M1353" s="24" t="s">
        <v>85</v>
      </c>
    </row>
    <row r="1354" spans="12:13" x14ac:dyDescent="0.3">
      <c r="L1354" s="18" t="s">
        <v>803</v>
      </c>
      <c r="M1354" s="23" t="s">
        <v>85</v>
      </c>
    </row>
    <row r="1355" spans="12:13" x14ac:dyDescent="0.3">
      <c r="L1355" s="19" t="s">
        <v>1136</v>
      </c>
      <c r="M1355" s="24" t="s">
        <v>85</v>
      </c>
    </row>
    <row r="1356" spans="12:13" x14ac:dyDescent="0.3">
      <c r="L1356" s="18" t="s">
        <v>1137</v>
      </c>
      <c r="M1356" s="23" t="s">
        <v>85</v>
      </c>
    </row>
    <row r="1357" spans="12:13" x14ac:dyDescent="0.3">
      <c r="L1357" s="19" t="s">
        <v>249</v>
      </c>
      <c r="M1357" s="24" t="s">
        <v>85</v>
      </c>
    </row>
    <row r="1358" spans="12:13" x14ac:dyDescent="0.3">
      <c r="L1358" s="18" t="s">
        <v>519</v>
      </c>
      <c r="M1358" s="23" t="s">
        <v>85</v>
      </c>
    </row>
    <row r="1359" spans="12:13" x14ac:dyDescent="0.3">
      <c r="L1359" s="19" t="s">
        <v>1138</v>
      </c>
      <c r="M1359" s="24" t="s">
        <v>85</v>
      </c>
    </row>
    <row r="1360" spans="12:13" x14ac:dyDescent="0.3">
      <c r="L1360" s="18" t="s">
        <v>1139</v>
      </c>
      <c r="M1360" s="23" t="s">
        <v>85</v>
      </c>
    </row>
    <row r="1361" spans="12:13" x14ac:dyDescent="0.3">
      <c r="L1361" s="19" t="s">
        <v>1140</v>
      </c>
      <c r="M1361" s="24" t="s">
        <v>85</v>
      </c>
    </row>
    <row r="1362" spans="12:13" x14ac:dyDescent="0.3">
      <c r="L1362" s="18" t="s">
        <v>1141</v>
      </c>
      <c r="M1362" s="23" t="s">
        <v>85</v>
      </c>
    </row>
    <row r="1363" spans="12:13" x14ac:dyDescent="0.3">
      <c r="L1363" s="19" t="s">
        <v>607</v>
      </c>
      <c r="M1363" s="24" t="s">
        <v>85</v>
      </c>
    </row>
    <row r="1364" spans="12:13" x14ac:dyDescent="0.3">
      <c r="L1364" s="18" t="s">
        <v>1142</v>
      </c>
      <c r="M1364" s="23" t="s">
        <v>85</v>
      </c>
    </row>
    <row r="1365" spans="12:13" x14ac:dyDescent="0.3">
      <c r="L1365" s="19" t="s">
        <v>1143</v>
      </c>
      <c r="M1365" s="24" t="s">
        <v>85</v>
      </c>
    </row>
    <row r="1366" spans="12:13" x14ac:dyDescent="0.3">
      <c r="L1366" s="18" t="s">
        <v>1144</v>
      </c>
      <c r="M1366" s="23" t="s">
        <v>85</v>
      </c>
    </row>
    <row r="1367" spans="12:13" x14ac:dyDescent="0.3">
      <c r="L1367" s="19" t="s">
        <v>1145</v>
      </c>
      <c r="M1367" s="24" t="s">
        <v>85</v>
      </c>
    </row>
    <row r="1368" spans="12:13" x14ac:dyDescent="0.3">
      <c r="L1368" s="18" t="s">
        <v>1146</v>
      </c>
      <c r="M1368" s="23" t="s">
        <v>85</v>
      </c>
    </row>
    <row r="1369" spans="12:13" x14ac:dyDescent="0.3">
      <c r="L1369" s="19" t="s">
        <v>1147</v>
      </c>
      <c r="M1369" s="24" t="s">
        <v>85</v>
      </c>
    </row>
    <row r="1370" spans="12:13" x14ac:dyDescent="0.3">
      <c r="L1370" s="18" t="s">
        <v>1148</v>
      </c>
      <c r="M1370" s="23" t="s">
        <v>85</v>
      </c>
    </row>
    <row r="1371" spans="12:13" x14ac:dyDescent="0.3">
      <c r="L1371" s="19" t="s">
        <v>1149</v>
      </c>
      <c r="M1371" s="24" t="s">
        <v>85</v>
      </c>
    </row>
    <row r="1372" spans="12:13" x14ac:dyDescent="0.3">
      <c r="L1372" s="18" t="s">
        <v>349</v>
      </c>
      <c r="M1372" s="23" t="s">
        <v>85</v>
      </c>
    </row>
    <row r="1373" spans="12:13" x14ac:dyDescent="0.3">
      <c r="L1373" s="19" t="s">
        <v>350</v>
      </c>
      <c r="M1373" s="24" t="s">
        <v>85</v>
      </c>
    </row>
    <row r="1374" spans="12:13" x14ac:dyDescent="0.3">
      <c r="L1374" s="18" t="s">
        <v>1150</v>
      </c>
      <c r="M1374" s="23" t="s">
        <v>85</v>
      </c>
    </row>
    <row r="1375" spans="12:13" x14ac:dyDescent="0.3">
      <c r="L1375" s="19" t="s">
        <v>1151</v>
      </c>
      <c r="M1375" s="24" t="s">
        <v>85</v>
      </c>
    </row>
    <row r="1376" spans="12:13" x14ac:dyDescent="0.3">
      <c r="L1376" s="18" t="s">
        <v>1152</v>
      </c>
      <c r="M1376" s="23" t="s">
        <v>85</v>
      </c>
    </row>
    <row r="1377" spans="12:13" x14ac:dyDescent="0.3">
      <c r="L1377" s="19" t="s">
        <v>1153</v>
      </c>
      <c r="M1377" s="24" t="s">
        <v>85</v>
      </c>
    </row>
    <row r="1378" spans="12:13" x14ac:dyDescent="0.3">
      <c r="L1378" s="18" t="s">
        <v>872</v>
      </c>
      <c r="M1378" s="23" t="s">
        <v>85</v>
      </c>
    </row>
    <row r="1379" spans="12:13" x14ac:dyDescent="0.3">
      <c r="L1379" s="19" t="s">
        <v>1154</v>
      </c>
      <c r="M1379" s="24" t="s">
        <v>85</v>
      </c>
    </row>
    <row r="1380" spans="12:13" x14ac:dyDescent="0.3">
      <c r="L1380" s="18" t="s">
        <v>1155</v>
      </c>
      <c r="M1380" s="23" t="s">
        <v>85</v>
      </c>
    </row>
    <row r="1381" spans="12:13" x14ac:dyDescent="0.3">
      <c r="L1381" s="19" t="s">
        <v>1156</v>
      </c>
      <c r="M1381" s="24" t="s">
        <v>85</v>
      </c>
    </row>
    <row r="1382" spans="12:13" x14ac:dyDescent="0.3">
      <c r="L1382" s="18" t="s">
        <v>355</v>
      </c>
      <c r="M1382" s="23" t="s">
        <v>85</v>
      </c>
    </row>
    <row r="1383" spans="12:13" x14ac:dyDescent="0.3">
      <c r="L1383" s="19" t="s">
        <v>1157</v>
      </c>
      <c r="M1383" s="24" t="s">
        <v>85</v>
      </c>
    </row>
    <row r="1384" spans="12:13" x14ac:dyDescent="0.3">
      <c r="L1384" s="18" t="s">
        <v>1158</v>
      </c>
      <c r="M1384" s="23" t="s">
        <v>85</v>
      </c>
    </row>
    <row r="1385" spans="12:13" x14ac:dyDescent="0.3">
      <c r="L1385" s="19" t="s">
        <v>1159</v>
      </c>
      <c r="M1385" s="24" t="s">
        <v>85</v>
      </c>
    </row>
    <row r="1386" spans="12:13" x14ac:dyDescent="0.3">
      <c r="L1386" s="18" t="s">
        <v>1160</v>
      </c>
      <c r="M1386" s="23" t="s">
        <v>85</v>
      </c>
    </row>
    <row r="1387" spans="12:13" x14ac:dyDescent="0.3">
      <c r="L1387" s="19" t="s">
        <v>882</v>
      </c>
      <c r="M1387" s="24" t="s">
        <v>85</v>
      </c>
    </row>
    <row r="1388" spans="12:13" x14ac:dyDescent="0.3">
      <c r="L1388" s="18" t="s">
        <v>1161</v>
      </c>
      <c r="M1388" s="23" t="s">
        <v>85</v>
      </c>
    </row>
    <row r="1389" spans="12:13" x14ac:dyDescent="0.3">
      <c r="L1389" s="19" t="s">
        <v>942</v>
      </c>
      <c r="M1389" s="24" t="s">
        <v>85</v>
      </c>
    </row>
    <row r="1390" spans="12:13" x14ac:dyDescent="0.3">
      <c r="L1390" s="18" t="s">
        <v>1162</v>
      </c>
      <c r="M1390" s="23" t="s">
        <v>85</v>
      </c>
    </row>
    <row r="1391" spans="12:13" x14ac:dyDescent="0.3">
      <c r="L1391" s="19" t="s">
        <v>1163</v>
      </c>
      <c r="M1391" s="24" t="s">
        <v>85</v>
      </c>
    </row>
    <row r="1392" spans="12:13" x14ac:dyDescent="0.3">
      <c r="L1392" s="18" t="s">
        <v>1164</v>
      </c>
      <c r="M1392" s="23" t="s">
        <v>85</v>
      </c>
    </row>
    <row r="1393" spans="12:13" x14ac:dyDescent="0.3">
      <c r="L1393" s="19" t="s">
        <v>1165</v>
      </c>
      <c r="M1393" s="24" t="s">
        <v>85</v>
      </c>
    </row>
    <row r="1394" spans="12:13" x14ac:dyDescent="0.3">
      <c r="L1394" s="18" t="s">
        <v>266</v>
      </c>
      <c r="M1394" s="23" t="s">
        <v>85</v>
      </c>
    </row>
    <row r="1395" spans="12:13" x14ac:dyDescent="0.3">
      <c r="L1395" s="19" t="s">
        <v>1166</v>
      </c>
      <c r="M1395" s="24" t="s">
        <v>85</v>
      </c>
    </row>
    <row r="1396" spans="12:13" x14ac:dyDescent="0.3">
      <c r="L1396" s="18" t="s">
        <v>1167</v>
      </c>
      <c r="M1396" s="23" t="s">
        <v>85</v>
      </c>
    </row>
    <row r="1397" spans="12:13" x14ac:dyDescent="0.3">
      <c r="L1397" s="19" t="s">
        <v>1168</v>
      </c>
      <c r="M1397" s="24" t="s">
        <v>85</v>
      </c>
    </row>
    <row r="1398" spans="12:13" x14ac:dyDescent="0.3">
      <c r="L1398" s="18" t="s">
        <v>823</v>
      </c>
      <c r="M1398" s="23" t="s">
        <v>85</v>
      </c>
    </row>
    <row r="1399" spans="12:13" x14ac:dyDescent="0.3">
      <c r="L1399" s="19" t="s">
        <v>1169</v>
      </c>
      <c r="M1399" s="24" t="s">
        <v>85</v>
      </c>
    </row>
    <row r="1400" spans="12:13" x14ac:dyDescent="0.3">
      <c r="L1400" s="18" t="s">
        <v>422</v>
      </c>
      <c r="M1400" s="23" t="s">
        <v>84</v>
      </c>
    </row>
    <row r="1401" spans="12:13" x14ac:dyDescent="0.3">
      <c r="L1401" s="19" t="s">
        <v>1170</v>
      </c>
      <c r="M1401" s="24" t="s">
        <v>84</v>
      </c>
    </row>
    <row r="1402" spans="12:13" x14ac:dyDescent="0.3">
      <c r="L1402" s="18" t="s">
        <v>1171</v>
      </c>
      <c r="M1402" s="23" t="s">
        <v>84</v>
      </c>
    </row>
    <row r="1403" spans="12:13" x14ac:dyDescent="0.3">
      <c r="L1403" s="19" t="s">
        <v>1172</v>
      </c>
      <c r="M1403" s="24" t="s">
        <v>84</v>
      </c>
    </row>
    <row r="1404" spans="12:13" x14ac:dyDescent="0.3">
      <c r="L1404" s="18" t="s">
        <v>312</v>
      </c>
      <c r="M1404" s="23" t="s">
        <v>84</v>
      </c>
    </row>
    <row r="1405" spans="12:13" x14ac:dyDescent="0.3">
      <c r="L1405" s="19" t="s">
        <v>1173</v>
      </c>
      <c r="M1405" s="24" t="s">
        <v>84</v>
      </c>
    </row>
    <row r="1406" spans="12:13" x14ac:dyDescent="0.3">
      <c r="L1406" s="18" t="s">
        <v>209</v>
      </c>
      <c r="M1406" s="23" t="s">
        <v>84</v>
      </c>
    </row>
    <row r="1407" spans="12:13" x14ac:dyDescent="0.3">
      <c r="L1407" s="19" t="s">
        <v>315</v>
      </c>
      <c r="M1407" s="24" t="s">
        <v>84</v>
      </c>
    </row>
    <row r="1408" spans="12:13" x14ac:dyDescent="0.3">
      <c r="L1408" s="18" t="s">
        <v>789</v>
      </c>
      <c r="M1408" s="23" t="s">
        <v>84</v>
      </c>
    </row>
    <row r="1409" spans="12:13" x14ac:dyDescent="0.3">
      <c r="L1409" s="19" t="s">
        <v>213</v>
      </c>
      <c r="M1409" s="24" t="s">
        <v>84</v>
      </c>
    </row>
    <row r="1410" spans="12:13" x14ac:dyDescent="0.3">
      <c r="L1410" s="18" t="s">
        <v>1174</v>
      </c>
      <c r="M1410" s="23" t="s">
        <v>84</v>
      </c>
    </row>
    <row r="1411" spans="12:13" x14ac:dyDescent="0.3">
      <c r="L1411" s="19" t="s">
        <v>214</v>
      </c>
      <c r="M1411" s="24" t="s">
        <v>84</v>
      </c>
    </row>
    <row r="1412" spans="12:13" x14ac:dyDescent="0.3">
      <c r="L1412" s="18" t="s">
        <v>215</v>
      </c>
      <c r="M1412" s="23" t="s">
        <v>84</v>
      </c>
    </row>
    <row r="1413" spans="12:13" x14ac:dyDescent="0.3">
      <c r="L1413" s="19" t="s">
        <v>1175</v>
      </c>
      <c r="M1413" s="24" t="s">
        <v>84</v>
      </c>
    </row>
    <row r="1414" spans="12:13" x14ac:dyDescent="0.3">
      <c r="L1414" s="18" t="s">
        <v>1176</v>
      </c>
      <c r="M1414" s="23" t="s">
        <v>84</v>
      </c>
    </row>
    <row r="1415" spans="12:13" x14ac:dyDescent="0.3">
      <c r="L1415" s="19" t="s">
        <v>221</v>
      </c>
      <c r="M1415" s="24" t="s">
        <v>84</v>
      </c>
    </row>
    <row r="1416" spans="12:13" x14ac:dyDescent="0.3">
      <c r="L1416" s="18" t="s">
        <v>1177</v>
      </c>
      <c r="M1416" s="23" t="s">
        <v>84</v>
      </c>
    </row>
    <row r="1417" spans="12:13" x14ac:dyDescent="0.3">
      <c r="L1417" s="19" t="s">
        <v>1178</v>
      </c>
      <c r="M1417" s="24" t="s">
        <v>84</v>
      </c>
    </row>
    <row r="1418" spans="12:13" x14ac:dyDescent="0.3">
      <c r="L1418" s="18" t="s">
        <v>231</v>
      </c>
      <c r="M1418" s="23" t="s">
        <v>84</v>
      </c>
    </row>
    <row r="1419" spans="12:13" x14ac:dyDescent="0.3">
      <c r="L1419" s="19" t="s">
        <v>1179</v>
      </c>
      <c r="M1419" s="24" t="s">
        <v>84</v>
      </c>
    </row>
    <row r="1420" spans="12:13" x14ac:dyDescent="0.3">
      <c r="L1420" s="18" t="s">
        <v>233</v>
      </c>
      <c r="M1420" s="23" t="s">
        <v>84</v>
      </c>
    </row>
    <row r="1421" spans="12:13" x14ac:dyDescent="0.3">
      <c r="L1421" s="19" t="s">
        <v>1180</v>
      </c>
      <c r="M1421" s="24" t="s">
        <v>84</v>
      </c>
    </row>
    <row r="1422" spans="12:13" x14ac:dyDescent="0.3">
      <c r="L1422" s="18" t="s">
        <v>589</v>
      </c>
      <c r="M1422" s="23" t="s">
        <v>84</v>
      </c>
    </row>
    <row r="1423" spans="12:13" x14ac:dyDescent="0.3">
      <c r="L1423" s="19" t="s">
        <v>748</v>
      </c>
      <c r="M1423" s="24" t="s">
        <v>84</v>
      </c>
    </row>
    <row r="1424" spans="12:13" x14ac:dyDescent="0.3">
      <c r="L1424" s="18" t="s">
        <v>1181</v>
      </c>
      <c r="M1424" s="23" t="s">
        <v>84</v>
      </c>
    </row>
    <row r="1425" spans="12:13" x14ac:dyDescent="0.3">
      <c r="L1425" s="19" t="s">
        <v>513</v>
      </c>
      <c r="M1425" s="24" t="s">
        <v>84</v>
      </c>
    </row>
    <row r="1426" spans="12:13" x14ac:dyDescent="0.3">
      <c r="L1426" s="18" t="s">
        <v>1182</v>
      </c>
      <c r="M1426" s="23" t="s">
        <v>84</v>
      </c>
    </row>
    <row r="1427" spans="12:13" x14ac:dyDescent="0.3">
      <c r="L1427" s="19" t="s">
        <v>1183</v>
      </c>
      <c r="M1427" s="24" t="s">
        <v>84</v>
      </c>
    </row>
    <row r="1428" spans="12:13" x14ac:dyDescent="0.3">
      <c r="L1428" s="18" t="s">
        <v>1184</v>
      </c>
      <c r="M1428" s="23" t="s">
        <v>84</v>
      </c>
    </row>
    <row r="1429" spans="12:13" x14ac:dyDescent="0.3">
      <c r="L1429" s="19" t="s">
        <v>237</v>
      </c>
      <c r="M1429" s="24" t="s">
        <v>84</v>
      </c>
    </row>
    <row r="1430" spans="12:13" x14ac:dyDescent="0.3">
      <c r="L1430" s="18" t="s">
        <v>595</v>
      </c>
      <c r="M1430" s="23" t="s">
        <v>84</v>
      </c>
    </row>
    <row r="1431" spans="12:13" x14ac:dyDescent="0.3">
      <c r="L1431" s="19" t="s">
        <v>238</v>
      </c>
      <c r="M1431" s="24" t="s">
        <v>84</v>
      </c>
    </row>
    <row r="1432" spans="12:13" x14ac:dyDescent="0.3">
      <c r="L1432" s="18" t="s">
        <v>1185</v>
      </c>
      <c r="M1432" s="23" t="s">
        <v>84</v>
      </c>
    </row>
    <row r="1433" spans="12:13" x14ac:dyDescent="0.3">
      <c r="L1433" s="19" t="s">
        <v>598</v>
      </c>
      <c r="M1433" s="24" t="s">
        <v>84</v>
      </c>
    </row>
    <row r="1434" spans="12:13" x14ac:dyDescent="0.3">
      <c r="L1434" s="18" t="s">
        <v>1186</v>
      </c>
      <c r="M1434" s="23" t="s">
        <v>84</v>
      </c>
    </row>
    <row r="1435" spans="12:13" x14ac:dyDescent="0.3">
      <c r="L1435" s="19" t="s">
        <v>337</v>
      </c>
      <c r="M1435" s="24" t="s">
        <v>84</v>
      </c>
    </row>
    <row r="1436" spans="12:13" x14ac:dyDescent="0.3">
      <c r="L1436" s="18" t="s">
        <v>239</v>
      </c>
      <c r="M1436" s="23" t="s">
        <v>84</v>
      </c>
    </row>
    <row r="1437" spans="12:13" x14ac:dyDescent="0.3">
      <c r="L1437" s="19" t="s">
        <v>240</v>
      </c>
      <c r="M1437" s="24" t="s">
        <v>84</v>
      </c>
    </row>
    <row r="1438" spans="12:13" x14ac:dyDescent="0.3">
      <c r="L1438" s="18" t="s">
        <v>241</v>
      </c>
      <c r="M1438" s="23" t="s">
        <v>84</v>
      </c>
    </row>
    <row r="1439" spans="12:13" x14ac:dyDescent="0.3">
      <c r="L1439" s="19" t="s">
        <v>1187</v>
      </c>
      <c r="M1439" s="24" t="s">
        <v>84</v>
      </c>
    </row>
    <row r="1440" spans="12:13" x14ac:dyDescent="0.3">
      <c r="L1440" s="18" t="s">
        <v>242</v>
      </c>
      <c r="M1440" s="23" t="s">
        <v>84</v>
      </c>
    </row>
    <row r="1441" spans="12:13" x14ac:dyDescent="0.3">
      <c r="L1441" s="19" t="s">
        <v>1188</v>
      </c>
      <c r="M1441" s="24" t="s">
        <v>84</v>
      </c>
    </row>
    <row r="1442" spans="12:13" x14ac:dyDescent="0.3">
      <c r="L1442" s="18" t="s">
        <v>338</v>
      </c>
      <c r="M1442" s="23" t="s">
        <v>84</v>
      </c>
    </row>
    <row r="1443" spans="12:13" x14ac:dyDescent="0.3">
      <c r="L1443" s="19" t="s">
        <v>244</v>
      </c>
      <c r="M1443" s="24" t="s">
        <v>84</v>
      </c>
    </row>
    <row r="1444" spans="12:13" x14ac:dyDescent="0.3">
      <c r="L1444" s="18" t="s">
        <v>246</v>
      </c>
      <c r="M1444" s="23" t="s">
        <v>84</v>
      </c>
    </row>
    <row r="1445" spans="12:13" x14ac:dyDescent="0.3">
      <c r="L1445" s="19" t="s">
        <v>248</v>
      </c>
      <c r="M1445" s="24" t="s">
        <v>84</v>
      </c>
    </row>
    <row r="1446" spans="12:13" x14ac:dyDescent="0.3">
      <c r="L1446" s="18" t="s">
        <v>249</v>
      </c>
      <c r="M1446" s="23" t="s">
        <v>84</v>
      </c>
    </row>
    <row r="1447" spans="12:13" x14ac:dyDescent="0.3">
      <c r="L1447" s="19" t="s">
        <v>251</v>
      </c>
      <c r="M1447" s="24" t="s">
        <v>84</v>
      </c>
    </row>
    <row r="1448" spans="12:13" x14ac:dyDescent="0.3">
      <c r="L1448" s="18" t="s">
        <v>252</v>
      </c>
      <c r="M1448" s="23" t="s">
        <v>84</v>
      </c>
    </row>
    <row r="1449" spans="12:13" x14ac:dyDescent="0.3">
      <c r="L1449" s="19" t="s">
        <v>1189</v>
      </c>
      <c r="M1449" s="24" t="s">
        <v>84</v>
      </c>
    </row>
    <row r="1450" spans="12:13" x14ac:dyDescent="0.3">
      <c r="L1450" s="18" t="s">
        <v>345</v>
      </c>
      <c r="M1450" s="23" t="s">
        <v>84</v>
      </c>
    </row>
    <row r="1451" spans="12:13" x14ac:dyDescent="0.3">
      <c r="L1451" s="19" t="s">
        <v>1190</v>
      </c>
      <c r="M1451" s="24" t="s">
        <v>84</v>
      </c>
    </row>
    <row r="1452" spans="12:13" x14ac:dyDescent="0.3">
      <c r="L1452" s="18" t="s">
        <v>1191</v>
      </c>
      <c r="M1452" s="23" t="s">
        <v>84</v>
      </c>
    </row>
    <row r="1453" spans="12:13" x14ac:dyDescent="0.3">
      <c r="L1453" s="19" t="s">
        <v>1192</v>
      </c>
      <c r="M1453" s="24" t="s">
        <v>84</v>
      </c>
    </row>
    <row r="1454" spans="12:13" x14ac:dyDescent="0.3">
      <c r="L1454" s="18" t="s">
        <v>1193</v>
      </c>
      <c r="M1454" s="23" t="s">
        <v>84</v>
      </c>
    </row>
    <row r="1455" spans="12:13" x14ac:dyDescent="0.3">
      <c r="L1455" s="19" t="s">
        <v>254</v>
      </c>
      <c r="M1455" s="24" t="s">
        <v>84</v>
      </c>
    </row>
    <row r="1456" spans="12:13" x14ac:dyDescent="0.3">
      <c r="L1456" s="18" t="s">
        <v>256</v>
      </c>
      <c r="M1456" s="23" t="s">
        <v>84</v>
      </c>
    </row>
    <row r="1457" spans="12:13" x14ac:dyDescent="0.3">
      <c r="L1457" s="19" t="s">
        <v>1194</v>
      </c>
      <c r="M1457" s="24" t="s">
        <v>84</v>
      </c>
    </row>
    <row r="1458" spans="12:13" x14ac:dyDescent="0.3">
      <c r="L1458" s="18" t="s">
        <v>1195</v>
      </c>
      <c r="M1458" s="23" t="s">
        <v>84</v>
      </c>
    </row>
    <row r="1459" spans="12:13" x14ac:dyDescent="0.3">
      <c r="L1459" s="19" t="s">
        <v>614</v>
      </c>
      <c r="M1459" s="24" t="s">
        <v>84</v>
      </c>
    </row>
    <row r="1460" spans="12:13" x14ac:dyDescent="0.3">
      <c r="L1460" s="18" t="s">
        <v>1196</v>
      </c>
      <c r="M1460" s="23" t="s">
        <v>84</v>
      </c>
    </row>
    <row r="1461" spans="12:13" x14ac:dyDescent="0.3">
      <c r="L1461" s="19" t="s">
        <v>355</v>
      </c>
      <c r="M1461" s="24" t="s">
        <v>84</v>
      </c>
    </row>
    <row r="1462" spans="12:13" x14ac:dyDescent="0.3">
      <c r="L1462" s="18" t="s">
        <v>1197</v>
      </c>
      <c r="M1462" s="23" t="s">
        <v>84</v>
      </c>
    </row>
    <row r="1463" spans="12:13" x14ac:dyDescent="0.3">
      <c r="L1463" s="19" t="s">
        <v>941</v>
      </c>
      <c r="M1463" s="24" t="s">
        <v>84</v>
      </c>
    </row>
    <row r="1464" spans="12:13" x14ac:dyDescent="0.3">
      <c r="L1464" s="18" t="s">
        <v>879</v>
      </c>
      <c r="M1464" s="23" t="s">
        <v>84</v>
      </c>
    </row>
    <row r="1465" spans="12:13" x14ac:dyDescent="0.3">
      <c r="L1465" s="19" t="s">
        <v>360</v>
      </c>
      <c r="M1465" s="24" t="s">
        <v>84</v>
      </c>
    </row>
    <row r="1466" spans="12:13" x14ac:dyDescent="0.3">
      <c r="L1466" s="18" t="s">
        <v>1198</v>
      </c>
      <c r="M1466" s="23" t="s">
        <v>84</v>
      </c>
    </row>
    <row r="1467" spans="12:13" x14ac:dyDescent="0.3">
      <c r="L1467" s="19" t="s">
        <v>1199</v>
      </c>
      <c r="M1467" s="24" t="s">
        <v>84</v>
      </c>
    </row>
    <row r="1468" spans="12:13" x14ac:dyDescent="0.3">
      <c r="L1468" s="18" t="s">
        <v>1200</v>
      </c>
      <c r="M1468" s="23" t="s">
        <v>84</v>
      </c>
    </row>
    <row r="1469" spans="12:13" x14ac:dyDescent="0.3">
      <c r="L1469" s="19" t="s">
        <v>1201</v>
      </c>
      <c r="M1469" s="24" t="s">
        <v>84</v>
      </c>
    </row>
    <row r="1470" spans="12:13" x14ac:dyDescent="0.3">
      <c r="L1470" s="18" t="s">
        <v>1202</v>
      </c>
      <c r="M1470" s="23" t="s">
        <v>84</v>
      </c>
    </row>
    <row r="1471" spans="12:13" x14ac:dyDescent="0.3">
      <c r="L1471" s="19" t="s">
        <v>1203</v>
      </c>
      <c r="M1471" s="24" t="s">
        <v>84</v>
      </c>
    </row>
    <row r="1472" spans="12:13" x14ac:dyDescent="0.3">
      <c r="L1472" s="18" t="s">
        <v>361</v>
      </c>
      <c r="M1472" s="23" t="s">
        <v>84</v>
      </c>
    </row>
    <row r="1473" spans="12:13" x14ac:dyDescent="0.3">
      <c r="L1473" s="19" t="s">
        <v>1204</v>
      </c>
      <c r="M1473" s="24" t="s">
        <v>84</v>
      </c>
    </row>
    <row r="1474" spans="12:13" x14ac:dyDescent="0.3">
      <c r="L1474" s="18" t="s">
        <v>638</v>
      </c>
      <c r="M1474" s="23" t="s">
        <v>84</v>
      </c>
    </row>
    <row r="1475" spans="12:13" x14ac:dyDescent="0.3">
      <c r="L1475" s="19" t="s">
        <v>266</v>
      </c>
      <c r="M1475" s="24" t="s">
        <v>84</v>
      </c>
    </row>
    <row r="1476" spans="12:13" x14ac:dyDescent="0.3">
      <c r="L1476" s="18" t="s">
        <v>639</v>
      </c>
      <c r="M1476" s="23" t="s">
        <v>84</v>
      </c>
    </row>
    <row r="1477" spans="12:13" x14ac:dyDescent="0.3">
      <c r="L1477" s="19" t="s">
        <v>640</v>
      </c>
      <c r="M1477" s="24" t="s">
        <v>84</v>
      </c>
    </row>
    <row r="1478" spans="12:13" x14ac:dyDescent="0.3">
      <c r="L1478" s="18" t="s">
        <v>644</v>
      </c>
      <c r="M1478" s="23" t="s">
        <v>84</v>
      </c>
    </row>
    <row r="1479" spans="12:13" x14ac:dyDescent="0.3">
      <c r="L1479" s="19" t="s">
        <v>268</v>
      </c>
      <c r="M1479" s="24" t="s">
        <v>84</v>
      </c>
    </row>
    <row r="1480" spans="12:13" x14ac:dyDescent="0.3">
      <c r="L1480" s="18" t="s">
        <v>1205</v>
      </c>
      <c r="M1480" s="23" t="s">
        <v>84</v>
      </c>
    </row>
    <row r="1481" spans="12:13" x14ac:dyDescent="0.3">
      <c r="L1481" s="19" t="s">
        <v>1206</v>
      </c>
      <c r="M1481" s="24" t="s">
        <v>84</v>
      </c>
    </row>
    <row r="1482" spans="12:13" x14ac:dyDescent="0.3">
      <c r="L1482" s="18" t="s">
        <v>779</v>
      </c>
      <c r="M1482" s="23" t="s">
        <v>83</v>
      </c>
    </row>
    <row r="1483" spans="12:13" x14ac:dyDescent="0.3">
      <c r="L1483" s="19" t="s">
        <v>1207</v>
      </c>
      <c r="M1483" s="24" t="s">
        <v>83</v>
      </c>
    </row>
    <row r="1484" spans="12:13" x14ac:dyDescent="0.3">
      <c r="L1484" s="18" t="s">
        <v>825</v>
      </c>
      <c r="M1484" s="23" t="s">
        <v>83</v>
      </c>
    </row>
    <row r="1485" spans="12:13" x14ac:dyDescent="0.3">
      <c r="L1485" s="19" t="s">
        <v>1208</v>
      </c>
      <c r="M1485" s="24" t="s">
        <v>83</v>
      </c>
    </row>
    <row r="1486" spans="12:13" x14ac:dyDescent="0.3">
      <c r="L1486" s="18" t="s">
        <v>1054</v>
      </c>
      <c r="M1486" s="23" t="s">
        <v>83</v>
      </c>
    </row>
    <row r="1487" spans="12:13" x14ac:dyDescent="0.3">
      <c r="L1487" s="19" t="s">
        <v>827</v>
      </c>
      <c r="M1487" s="24" t="s">
        <v>83</v>
      </c>
    </row>
    <row r="1488" spans="12:13" x14ac:dyDescent="0.3">
      <c r="L1488" s="18" t="s">
        <v>1209</v>
      </c>
      <c r="M1488" s="23" t="s">
        <v>83</v>
      </c>
    </row>
    <row r="1489" spans="12:13" x14ac:dyDescent="0.3">
      <c r="L1489" s="19" t="s">
        <v>312</v>
      </c>
      <c r="M1489" s="24" t="s">
        <v>83</v>
      </c>
    </row>
    <row r="1490" spans="12:13" x14ac:dyDescent="0.3">
      <c r="L1490" s="18" t="s">
        <v>1210</v>
      </c>
      <c r="M1490" s="23" t="s">
        <v>83</v>
      </c>
    </row>
    <row r="1491" spans="12:13" x14ac:dyDescent="0.3">
      <c r="L1491" s="19" t="s">
        <v>313</v>
      </c>
      <c r="M1491" s="24" t="s">
        <v>83</v>
      </c>
    </row>
    <row r="1492" spans="12:13" x14ac:dyDescent="0.3">
      <c r="L1492" s="18" t="s">
        <v>785</v>
      </c>
      <c r="M1492" s="23" t="s">
        <v>83</v>
      </c>
    </row>
    <row r="1493" spans="12:13" x14ac:dyDescent="0.3">
      <c r="L1493" s="19" t="s">
        <v>208</v>
      </c>
      <c r="M1493" s="24" t="s">
        <v>83</v>
      </c>
    </row>
    <row r="1494" spans="12:13" x14ac:dyDescent="0.3">
      <c r="L1494" s="18" t="s">
        <v>901</v>
      </c>
      <c r="M1494" s="23" t="s">
        <v>83</v>
      </c>
    </row>
    <row r="1495" spans="12:13" x14ac:dyDescent="0.3">
      <c r="L1495" s="19" t="s">
        <v>1211</v>
      </c>
      <c r="M1495" s="24" t="s">
        <v>83</v>
      </c>
    </row>
    <row r="1496" spans="12:13" x14ac:dyDescent="0.3">
      <c r="L1496" s="18" t="s">
        <v>553</v>
      </c>
      <c r="M1496" s="23" t="s">
        <v>83</v>
      </c>
    </row>
    <row r="1497" spans="12:13" x14ac:dyDescent="0.3">
      <c r="L1497" s="19" t="s">
        <v>1212</v>
      </c>
      <c r="M1497" s="24" t="s">
        <v>83</v>
      </c>
    </row>
    <row r="1498" spans="12:13" x14ac:dyDescent="0.3">
      <c r="L1498" s="18" t="s">
        <v>315</v>
      </c>
      <c r="M1498" s="23" t="s">
        <v>83</v>
      </c>
    </row>
    <row r="1499" spans="12:13" x14ac:dyDescent="0.3">
      <c r="L1499" s="19" t="s">
        <v>905</v>
      </c>
      <c r="M1499" s="24" t="s">
        <v>83</v>
      </c>
    </row>
    <row r="1500" spans="12:13" x14ac:dyDescent="0.3">
      <c r="L1500" s="18" t="s">
        <v>688</v>
      </c>
      <c r="M1500" s="23" t="s">
        <v>83</v>
      </c>
    </row>
    <row r="1501" spans="12:13" x14ac:dyDescent="0.3">
      <c r="L1501" s="19" t="s">
        <v>787</v>
      </c>
      <c r="M1501" s="24" t="s">
        <v>83</v>
      </c>
    </row>
    <row r="1502" spans="12:13" x14ac:dyDescent="0.3">
      <c r="L1502" s="18" t="s">
        <v>1213</v>
      </c>
      <c r="M1502" s="23" t="s">
        <v>83</v>
      </c>
    </row>
    <row r="1503" spans="12:13" x14ac:dyDescent="0.3">
      <c r="L1503" s="19" t="s">
        <v>690</v>
      </c>
      <c r="M1503" s="24" t="s">
        <v>83</v>
      </c>
    </row>
    <row r="1504" spans="12:13" x14ac:dyDescent="0.3">
      <c r="L1504" s="18" t="s">
        <v>317</v>
      </c>
      <c r="M1504" s="23" t="s">
        <v>83</v>
      </c>
    </row>
    <row r="1505" spans="12:13" x14ac:dyDescent="0.3">
      <c r="L1505" s="19" t="s">
        <v>215</v>
      </c>
      <c r="M1505" s="24" t="s">
        <v>83</v>
      </c>
    </row>
    <row r="1506" spans="12:13" x14ac:dyDescent="0.3">
      <c r="L1506" s="18" t="s">
        <v>691</v>
      </c>
      <c r="M1506" s="23" t="s">
        <v>83</v>
      </c>
    </row>
    <row r="1507" spans="12:13" x14ac:dyDescent="0.3">
      <c r="L1507" s="19" t="s">
        <v>1214</v>
      </c>
      <c r="M1507" s="24" t="s">
        <v>83</v>
      </c>
    </row>
    <row r="1508" spans="12:13" x14ac:dyDescent="0.3">
      <c r="L1508" s="18" t="s">
        <v>1215</v>
      </c>
      <c r="M1508" s="23" t="s">
        <v>83</v>
      </c>
    </row>
    <row r="1509" spans="12:13" x14ac:dyDescent="0.3">
      <c r="L1509" s="19" t="s">
        <v>322</v>
      </c>
      <c r="M1509" s="24" t="s">
        <v>83</v>
      </c>
    </row>
    <row r="1510" spans="12:13" x14ac:dyDescent="0.3">
      <c r="L1510" s="18" t="s">
        <v>498</v>
      </c>
      <c r="M1510" s="23" t="s">
        <v>83</v>
      </c>
    </row>
    <row r="1511" spans="12:13" x14ac:dyDescent="0.3">
      <c r="L1511" s="19" t="s">
        <v>225</v>
      </c>
      <c r="M1511" s="24" t="s">
        <v>83</v>
      </c>
    </row>
    <row r="1512" spans="12:13" x14ac:dyDescent="0.3">
      <c r="L1512" s="18" t="s">
        <v>741</v>
      </c>
      <c r="M1512" s="23" t="s">
        <v>83</v>
      </c>
    </row>
    <row r="1513" spans="12:13" x14ac:dyDescent="0.3">
      <c r="L1513" s="19" t="s">
        <v>226</v>
      </c>
      <c r="M1513" s="24" t="s">
        <v>83</v>
      </c>
    </row>
    <row r="1514" spans="12:13" x14ac:dyDescent="0.3">
      <c r="L1514" s="18" t="s">
        <v>1216</v>
      </c>
      <c r="M1514" s="23" t="s">
        <v>83</v>
      </c>
    </row>
    <row r="1515" spans="12:13" x14ac:dyDescent="0.3">
      <c r="L1515" s="19" t="s">
        <v>439</v>
      </c>
      <c r="M1515" s="24" t="s">
        <v>83</v>
      </c>
    </row>
    <row r="1516" spans="12:13" x14ac:dyDescent="0.3">
      <c r="L1516" s="18" t="s">
        <v>1217</v>
      </c>
      <c r="M1516" s="23" t="s">
        <v>83</v>
      </c>
    </row>
    <row r="1517" spans="12:13" x14ac:dyDescent="0.3">
      <c r="L1517" s="19" t="s">
        <v>231</v>
      </c>
      <c r="M1517" s="24" t="s">
        <v>83</v>
      </c>
    </row>
    <row r="1518" spans="12:13" x14ac:dyDescent="0.3">
      <c r="L1518" s="18" t="s">
        <v>1218</v>
      </c>
      <c r="M1518" s="23" t="s">
        <v>83</v>
      </c>
    </row>
    <row r="1519" spans="12:13" x14ac:dyDescent="0.3">
      <c r="L1519" s="19" t="s">
        <v>1219</v>
      </c>
      <c r="M1519" s="24" t="s">
        <v>83</v>
      </c>
    </row>
    <row r="1520" spans="12:13" x14ac:dyDescent="0.3">
      <c r="L1520" s="18" t="s">
        <v>233</v>
      </c>
      <c r="M1520" s="23" t="s">
        <v>83</v>
      </c>
    </row>
    <row r="1521" spans="12:13" x14ac:dyDescent="0.3">
      <c r="L1521" s="19" t="s">
        <v>700</v>
      </c>
      <c r="M1521" s="24" t="s">
        <v>83</v>
      </c>
    </row>
    <row r="1522" spans="12:13" x14ac:dyDescent="0.3">
      <c r="L1522" s="18" t="s">
        <v>748</v>
      </c>
      <c r="M1522" s="23" t="s">
        <v>83</v>
      </c>
    </row>
    <row r="1523" spans="12:13" x14ac:dyDescent="0.3">
      <c r="L1523" s="19" t="s">
        <v>235</v>
      </c>
      <c r="M1523" s="24" t="s">
        <v>83</v>
      </c>
    </row>
    <row r="1524" spans="12:13" x14ac:dyDescent="0.3">
      <c r="L1524" s="18" t="s">
        <v>1220</v>
      </c>
      <c r="M1524" s="23" t="s">
        <v>83</v>
      </c>
    </row>
    <row r="1525" spans="12:13" x14ac:dyDescent="0.3">
      <c r="L1525" s="19" t="s">
        <v>1221</v>
      </c>
      <c r="M1525" s="24" t="s">
        <v>83</v>
      </c>
    </row>
    <row r="1526" spans="12:13" x14ac:dyDescent="0.3">
      <c r="L1526" s="18" t="s">
        <v>333</v>
      </c>
      <c r="M1526" s="23" t="s">
        <v>83</v>
      </c>
    </row>
    <row r="1527" spans="12:13" x14ac:dyDescent="0.3">
      <c r="L1527" s="19" t="s">
        <v>1222</v>
      </c>
      <c r="M1527" s="24" t="s">
        <v>83</v>
      </c>
    </row>
    <row r="1528" spans="12:13" x14ac:dyDescent="0.3">
      <c r="L1528" s="18" t="s">
        <v>1073</v>
      </c>
      <c r="M1528" s="23" t="s">
        <v>83</v>
      </c>
    </row>
    <row r="1529" spans="12:13" x14ac:dyDescent="0.3">
      <c r="L1529" s="19" t="s">
        <v>237</v>
      </c>
      <c r="M1529" s="24" t="s">
        <v>83</v>
      </c>
    </row>
    <row r="1530" spans="12:13" x14ac:dyDescent="0.3">
      <c r="L1530" s="18" t="s">
        <v>595</v>
      </c>
      <c r="M1530" s="23" t="s">
        <v>83</v>
      </c>
    </row>
    <row r="1531" spans="12:13" x14ac:dyDescent="0.3">
      <c r="L1531" s="19" t="s">
        <v>238</v>
      </c>
      <c r="M1531" s="24" t="s">
        <v>83</v>
      </c>
    </row>
    <row r="1532" spans="12:13" x14ac:dyDescent="0.3">
      <c r="L1532" s="18" t="s">
        <v>336</v>
      </c>
      <c r="M1532" s="23" t="s">
        <v>83</v>
      </c>
    </row>
    <row r="1533" spans="12:13" x14ac:dyDescent="0.3">
      <c r="L1533" s="19" t="s">
        <v>709</v>
      </c>
      <c r="M1533" s="24" t="s">
        <v>83</v>
      </c>
    </row>
    <row r="1534" spans="12:13" x14ac:dyDescent="0.3">
      <c r="L1534" s="18" t="s">
        <v>1223</v>
      </c>
      <c r="M1534" s="23" t="s">
        <v>83</v>
      </c>
    </row>
    <row r="1535" spans="12:13" x14ac:dyDescent="0.3">
      <c r="L1535" s="19" t="s">
        <v>337</v>
      </c>
      <c r="M1535" s="24" t="s">
        <v>83</v>
      </c>
    </row>
    <row r="1536" spans="12:13" x14ac:dyDescent="0.3">
      <c r="L1536" s="18" t="s">
        <v>241</v>
      </c>
      <c r="M1536" s="23" t="s">
        <v>83</v>
      </c>
    </row>
    <row r="1537" spans="12:13" x14ac:dyDescent="0.3">
      <c r="L1537" s="19" t="s">
        <v>673</v>
      </c>
      <c r="M1537" s="24" t="s">
        <v>83</v>
      </c>
    </row>
    <row r="1538" spans="12:13" x14ac:dyDescent="0.3">
      <c r="L1538" s="18" t="s">
        <v>338</v>
      </c>
      <c r="M1538" s="23" t="s">
        <v>83</v>
      </c>
    </row>
    <row r="1539" spans="12:13" x14ac:dyDescent="0.3">
      <c r="L1539" s="19" t="s">
        <v>800</v>
      </c>
      <c r="M1539" s="24" t="s">
        <v>83</v>
      </c>
    </row>
    <row r="1540" spans="12:13" x14ac:dyDescent="0.3">
      <c r="L1540" s="18" t="s">
        <v>711</v>
      </c>
      <c r="M1540" s="23" t="s">
        <v>83</v>
      </c>
    </row>
    <row r="1541" spans="12:13" x14ac:dyDescent="0.3">
      <c r="L1541" s="19" t="s">
        <v>1224</v>
      </c>
      <c r="M1541" s="24" t="s">
        <v>83</v>
      </c>
    </row>
    <row r="1542" spans="12:13" x14ac:dyDescent="0.3">
      <c r="L1542" s="18" t="s">
        <v>245</v>
      </c>
      <c r="M1542" s="23" t="s">
        <v>83</v>
      </c>
    </row>
    <row r="1543" spans="12:13" x14ac:dyDescent="0.3">
      <c r="L1543" s="19" t="s">
        <v>246</v>
      </c>
      <c r="M1543" s="24" t="s">
        <v>83</v>
      </c>
    </row>
    <row r="1544" spans="12:13" x14ac:dyDescent="0.3">
      <c r="L1544" s="18" t="s">
        <v>1225</v>
      </c>
      <c r="M1544" s="23" t="s">
        <v>83</v>
      </c>
    </row>
    <row r="1545" spans="12:13" x14ac:dyDescent="0.3">
      <c r="L1545" s="19" t="s">
        <v>248</v>
      </c>
      <c r="M1545" s="24" t="s">
        <v>83</v>
      </c>
    </row>
    <row r="1546" spans="12:13" x14ac:dyDescent="0.3">
      <c r="L1546" s="18" t="s">
        <v>719</v>
      </c>
      <c r="M1546" s="23" t="s">
        <v>83</v>
      </c>
    </row>
    <row r="1547" spans="12:13" x14ac:dyDescent="0.3">
      <c r="L1547" s="19" t="s">
        <v>342</v>
      </c>
      <c r="M1547" s="24" t="s">
        <v>83</v>
      </c>
    </row>
    <row r="1548" spans="12:13" x14ac:dyDescent="0.3">
      <c r="L1548" s="18" t="s">
        <v>343</v>
      </c>
      <c r="M1548" s="23" t="s">
        <v>83</v>
      </c>
    </row>
    <row r="1549" spans="12:13" x14ac:dyDescent="0.3">
      <c r="L1549" s="19" t="s">
        <v>1226</v>
      </c>
      <c r="M1549" s="24" t="s">
        <v>83</v>
      </c>
    </row>
    <row r="1550" spans="12:13" x14ac:dyDescent="0.3">
      <c r="L1550" s="18" t="s">
        <v>251</v>
      </c>
      <c r="M1550" s="23" t="s">
        <v>83</v>
      </c>
    </row>
    <row r="1551" spans="12:13" x14ac:dyDescent="0.3">
      <c r="L1551" s="19" t="s">
        <v>252</v>
      </c>
      <c r="M1551" s="24" t="s">
        <v>83</v>
      </c>
    </row>
    <row r="1552" spans="12:13" x14ac:dyDescent="0.3">
      <c r="L1552" s="18" t="s">
        <v>253</v>
      </c>
      <c r="M1552" s="23" t="s">
        <v>83</v>
      </c>
    </row>
    <row r="1553" spans="12:13" x14ac:dyDescent="0.3">
      <c r="L1553" s="19" t="s">
        <v>1227</v>
      </c>
      <c r="M1553" s="24" t="s">
        <v>83</v>
      </c>
    </row>
    <row r="1554" spans="12:13" x14ac:dyDescent="0.3">
      <c r="L1554" s="18" t="s">
        <v>345</v>
      </c>
      <c r="M1554" s="23" t="s">
        <v>83</v>
      </c>
    </row>
    <row r="1555" spans="12:13" x14ac:dyDescent="0.3">
      <c r="L1555" s="19" t="s">
        <v>1228</v>
      </c>
      <c r="M1555" s="24" t="s">
        <v>83</v>
      </c>
    </row>
    <row r="1556" spans="12:13" x14ac:dyDescent="0.3">
      <c r="L1556" s="18" t="s">
        <v>1229</v>
      </c>
      <c r="M1556" s="23" t="s">
        <v>83</v>
      </c>
    </row>
    <row r="1557" spans="12:13" x14ac:dyDescent="0.3">
      <c r="L1557" s="19" t="s">
        <v>863</v>
      </c>
      <c r="M1557" s="24" t="s">
        <v>83</v>
      </c>
    </row>
    <row r="1558" spans="12:13" x14ac:dyDescent="0.3">
      <c r="L1558" s="18" t="s">
        <v>1230</v>
      </c>
      <c r="M1558" s="23" t="s">
        <v>83</v>
      </c>
    </row>
    <row r="1559" spans="12:13" x14ac:dyDescent="0.3">
      <c r="L1559" s="19" t="s">
        <v>1231</v>
      </c>
      <c r="M1559" s="24" t="s">
        <v>83</v>
      </c>
    </row>
    <row r="1560" spans="12:13" x14ac:dyDescent="0.3">
      <c r="L1560" s="18" t="s">
        <v>254</v>
      </c>
      <c r="M1560" s="23" t="s">
        <v>83</v>
      </c>
    </row>
    <row r="1561" spans="12:13" x14ac:dyDescent="0.3">
      <c r="L1561" s="19" t="s">
        <v>1232</v>
      </c>
      <c r="M1561" s="24" t="s">
        <v>83</v>
      </c>
    </row>
    <row r="1562" spans="12:13" x14ac:dyDescent="0.3">
      <c r="L1562" s="18" t="s">
        <v>1233</v>
      </c>
      <c r="M1562" s="23" t="s">
        <v>83</v>
      </c>
    </row>
    <row r="1563" spans="12:13" x14ac:dyDescent="0.3">
      <c r="L1563" s="19" t="s">
        <v>256</v>
      </c>
      <c r="M1563" s="24" t="s">
        <v>83</v>
      </c>
    </row>
    <row r="1564" spans="12:13" x14ac:dyDescent="0.3">
      <c r="L1564" s="18" t="s">
        <v>1234</v>
      </c>
      <c r="M1564" s="23" t="s">
        <v>83</v>
      </c>
    </row>
    <row r="1565" spans="12:13" x14ac:dyDescent="0.3">
      <c r="L1565" s="19" t="s">
        <v>349</v>
      </c>
      <c r="M1565" s="24" t="s">
        <v>83</v>
      </c>
    </row>
    <row r="1566" spans="12:13" x14ac:dyDescent="0.3">
      <c r="L1566" s="18" t="s">
        <v>352</v>
      </c>
      <c r="M1566" s="23" t="s">
        <v>83</v>
      </c>
    </row>
    <row r="1567" spans="12:13" x14ac:dyDescent="0.3">
      <c r="L1567" s="19" t="s">
        <v>527</v>
      </c>
      <c r="M1567" s="24" t="s">
        <v>83</v>
      </c>
    </row>
    <row r="1568" spans="12:13" x14ac:dyDescent="0.3">
      <c r="L1568" s="18" t="s">
        <v>1235</v>
      </c>
      <c r="M1568" s="23" t="s">
        <v>83</v>
      </c>
    </row>
    <row r="1569" spans="12:13" x14ac:dyDescent="0.3">
      <c r="L1569" s="19" t="s">
        <v>257</v>
      </c>
      <c r="M1569" s="24" t="s">
        <v>83</v>
      </c>
    </row>
    <row r="1570" spans="12:13" x14ac:dyDescent="0.3">
      <c r="L1570" s="18" t="s">
        <v>1236</v>
      </c>
      <c r="M1570" s="23" t="s">
        <v>83</v>
      </c>
    </row>
    <row r="1571" spans="12:13" x14ac:dyDescent="0.3">
      <c r="L1571" s="19" t="s">
        <v>1237</v>
      </c>
      <c r="M1571" s="24" t="s">
        <v>83</v>
      </c>
    </row>
    <row r="1572" spans="12:13" x14ac:dyDescent="0.3">
      <c r="L1572" s="18" t="s">
        <v>763</v>
      </c>
      <c r="M1572" s="23" t="s">
        <v>83</v>
      </c>
    </row>
    <row r="1573" spans="12:13" x14ac:dyDescent="0.3">
      <c r="L1573" s="19" t="s">
        <v>1238</v>
      </c>
      <c r="M1573" s="24" t="s">
        <v>83</v>
      </c>
    </row>
    <row r="1574" spans="12:13" x14ac:dyDescent="0.3">
      <c r="L1574" s="18" t="s">
        <v>259</v>
      </c>
      <c r="M1574" s="23" t="s">
        <v>83</v>
      </c>
    </row>
    <row r="1575" spans="12:13" x14ac:dyDescent="0.3">
      <c r="L1575" s="19" t="s">
        <v>1239</v>
      </c>
      <c r="M1575" s="24" t="s">
        <v>83</v>
      </c>
    </row>
    <row r="1576" spans="12:13" x14ac:dyDescent="0.3">
      <c r="L1576" s="18" t="s">
        <v>1240</v>
      </c>
      <c r="M1576" s="23" t="s">
        <v>83</v>
      </c>
    </row>
    <row r="1577" spans="12:13" x14ac:dyDescent="0.3">
      <c r="L1577" s="19" t="s">
        <v>1156</v>
      </c>
      <c r="M1577" s="24" t="s">
        <v>83</v>
      </c>
    </row>
    <row r="1578" spans="12:13" x14ac:dyDescent="0.3">
      <c r="L1578" s="18" t="s">
        <v>354</v>
      </c>
      <c r="M1578" s="23" t="s">
        <v>83</v>
      </c>
    </row>
    <row r="1579" spans="12:13" x14ac:dyDescent="0.3">
      <c r="L1579" s="19" t="s">
        <v>727</v>
      </c>
      <c r="M1579" s="24" t="s">
        <v>83</v>
      </c>
    </row>
    <row r="1580" spans="12:13" x14ac:dyDescent="0.3">
      <c r="L1580" s="18" t="s">
        <v>1241</v>
      </c>
      <c r="M1580" s="23" t="s">
        <v>83</v>
      </c>
    </row>
    <row r="1581" spans="12:13" x14ac:dyDescent="0.3">
      <c r="L1581" s="19" t="s">
        <v>355</v>
      </c>
      <c r="M1581" s="24" t="s">
        <v>83</v>
      </c>
    </row>
    <row r="1582" spans="12:13" x14ac:dyDescent="0.3">
      <c r="L1582" s="18" t="s">
        <v>1242</v>
      </c>
      <c r="M1582" s="23" t="s">
        <v>83</v>
      </c>
    </row>
    <row r="1583" spans="12:13" x14ac:dyDescent="0.3">
      <c r="L1583" s="19" t="s">
        <v>260</v>
      </c>
      <c r="M1583" s="24" t="s">
        <v>83</v>
      </c>
    </row>
    <row r="1584" spans="12:13" x14ac:dyDescent="0.3">
      <c r="L1584" s="18" t="s">
        <v>1243</v>
      </c>
      <c r="M1584" s="23" t="s">
        <v>83</v>
      </c>
    </row>
    <row r="1585" spans="12:13" x14ac:dyDescent="0.3">
      <c r="L1585" s="19" t="s">
        <v>360</v>
      </c>
      <c r="M1585" s="24" t="s">
        <v>83</v>
      </c>
    </row>
    <row r="1586" spans="12:13" x14ac:dyDescent="0.3">
      <c r="L1586" s="18" t="s">
        <v>769</v>
      </c>
      <c r="M1586" s="23" t="s">
        <v>83</v>
      </c>
    </row>
    <row r="1587" spans="12:13" x14ac:dyDescent="0.3">
      <c r="L1587" s="19" t="s">
        <v>1244</v>
      </c>
      <c r="M1587" s="24" t="s">
        <v>83</v>
      </c>
    </row>
    <row r="1588" spans="12:13" x14ac:dyDescent="0.3">
      <c r="L1588" s="18" t="s">
        <v>1245</v>
      </c>
      <c r="M1588" s="23" t="s">
        <v>83</v>
      </c>
    </row>
    <row r="1589" spans="12:13" x14ac:dyDescent="0.3">
      <c r="L1589" s="19" t="s">
        <v>1246</v>
      </c>
      <c r="M1589" s="24" t="s">
        <v>83</v>
      </c>
    </row>
    <row r="1590" spans="12:13" x14ac:dyDescent="0.3">
      <c r="L1590" s="18" t="s">
        <v>638</v>
      </c>
      <c r="M1590" s="23" t="s">
        <v>83</v>
      </c>
    </row>
    <row r="1591" spans="12:13" x14ac:dyDescent="0.3">
      <c r="L1591" s="19" t="s">
        <v>266</v>
      </c>
      <c r="M1591" s="24" t="s">
        <v>83</v>
      </c>
    </row>
    <row r="1592" spans="12:13" x14ac:dyDescent="0.3">
      <c r="L1592" s="18" t="s">
        <v>639</v>
      </c>
      <c r="M1592" s="23" t="s">
        <v>83</v>
      </c>
    </row>
    <row r="1593" spans="12:13" x14ac:dyDescent="0.3">
      <c r="L1593" s="19" t="s">
        <v>640</v>
      </c>
      <c r="M1593" s="24" t="s">
        <v>83</v>
      </c>
    </row>
    <row r="1594" spans="12:13" x14ac:dyDescent="0.3">
      <c r="L1594" s="18" t="s">
        <v>645</v>
      </c>
      <c r="M1594" s="23" t="s">
        <v>83</v>
      </c>
    </row>
    <row r="1595" spans="12:13" x14ac:dyDescent="0.3">
      <c r="L1595" s="19" t="s">
        <v>823</v>
      </c>
      <c r="M1595" s="24" t="s">
        <v>83</v>
      </c>
    </row>
    <row r="1596" spans="12:13" x14ac:dyDescent="0.3">
      <c r="L1596" s="18" t="s">
        <v>1247</v>
      </c>
      <c r="M1596" s="23" t="s">
        <v>83</v>
      </c>
    </row>
    <row r="1597" spans="12:13" x14ac:dyDescent="0.3">
      <c r="L1597" s="19" t="s">
        <v>1248</v>
      </c>
      <c r="M1597" s="24" t="s">
        <v>82</v>
      </c>
    </row>
    <row r="1598" spans="12:13" x14ac:dyDescent="0.3">
      <c r="L1598" s="18" t="s">
        <v>1249</v>
      </c>
      <c r="M1598" s="23" t="s">
        <v>82</v>
      </c>
    </row>
    <row r="1599" spans="12:13" x14ac:dyDescent="0.3">
      <c r="L1599" s="19" t="s">
        <v>656</v>
      </c>
      <c r="M1599" s="24" t="s">
        <v>82</v>
      </c>
    </row>
    <row r="1600" spans="12:13" x14ac:dyDescent="0.3">
      <c r="L1600" s="18" t="s">
        <v>1250</v>
      </c>
      <c r="M1600" s="23" t="s">
        <v>82</v>
      </c>
    </row>
    <row r="1601" spans="12:13" x14ac:dyDescent="0.3">
      <c r="L1601" s="19" t="s">
        <v>1251</v>
      </c>
      <c r="M1601" s="24" t="s">
        <v>82</v>
      </c>
    </row>
    <row r="1602" spans="12:13" x14ac:dyDescent="0.3">
      <c r="L1602" s="18" t="s">
        <v>905</v>
      </c>
      <c r="M1602" s="23" t="s">
        <v>82</v>
      </c>
    </row>
    <row r="1603" spans="12:13" x14ac:dyDescent="0.3">
      <c r="L1603" s="19" t="s">
        <v>1252</v>
      </c>
      <c r="M1603" s="24" t="s">
        <v>82</v>
      </c>
    </row>
    <row r="1604" spans="12:13" x14ac:dyDescent="0.3">
      <c r="L1604" s="18" t="s">
        <v>1253</v>
      </c>
      <c r="M1604" s="23" t="s">
        <v>82</v>
      </c>
    </row>
    <row r="1605" spans="12:13" x14ac:dyDescent="0.3">
      <c r="L1605" s="19" t="s">
        <v>435</v>
      </c>
      <c r="M1605" s="24" t="s">
        <v>82</v>
      </c>
    </row>
    <row r="1606" spans="12:13" x14ac:dyDescent="0.3">
      <c r="L1606" s="18" t="s">
        <v>1254</v>
      </c>
      <c r="M1606" s="23" t="s">
        <v>82</v>
      </c>
    </row>
    <row r="1607" spans="12:13" x14ac:dyDescent="0.3">
      <c r="L1607" s="19" t="s">
        <v>567</v>
      </c>
      <c r="M1607" s="24" t="s">
        <v>82</v>
      </c>
    </row>
    <row r="1608" spans="12:13" x14ac:dyDescent="0.3">
      <c r="L1608" s="18" t="s">
        <v>1255</v>
      </c>
      <c r="M1608" s="23" t="s">
        <v>82</v>
      </c>
    </row>
    <row r="1609" spans="12:13" x14ac:dyDescent="0.3">
      <c r="L1609" s="19" t="s">
        <v>1256</v>
      </c>
      <c r="M1609" s="24" t="s">
        <v>82</v>
      </c>
    </row>
    <row r="1610" spans="12:13" x14ac:dyDescent="0.3">
      <c r="L1610" s="18" t="s">
        <v>1257</v>
      </c>
      <c r="M1610" s="23" t="s">
        <v>82</v>
      </c>
    </row>
    <row r="1611" spans="12:13" x14ac:dyDescent="0.3">
      <c r="L1611" s="19" t="s">
        <v>1258</v>
      </c>
      <c r="M1611" s="24" t="s">
        <v>82</v>
      </c>
    </row>
    <row r="1612" spans="12:13" x14ac:dyDescent="0.3">
      <c r="L1612" s="18" t="s">
        <v>699</v>
      </c>
      <c r="M1612" s="23" t="s">
        <v>82</v>
      </c>
    </row>
    <row r="1613" spans="12:13" x14ac:dyDescent="0.3">
      <c r="L1613" s="19" t="s">
        <v>444</v>
      </c>
      <c r="M1613" s="24" t="s">
        <v>82</v>
      </c>
    </row>
    <row r="1614" spans="12:13" x14ac:dyDescent="0.3">
      <c r="L1614" s="18" t="s">
        <v>1259</v>
      </c>
      <c r="M1614" s="23" t="s">
        <v>82</v>
      </c>
    </row>
    <row r="1615" spans="12:13" x14ac:dyDescent="0.3">
      <c r="L1615" s="19" t="s">
        <v>1260</v>
      </c>
      <c r="M1615" s="24" t="s">
        <v>82</v>
      </c>
    </row>
    <row r="1616" spans="12:13" x14ac:dyDescent="0.3">
      <c r="L1616" s="18" t="s">
        <v>1261</v>
      </c>
      <c r="M1616" s="23" t="s">
        <v>82</v>
      </c>
    </row>
    <row r="1617" spans="12:13" x14ac:dyDescent="0.3">
      <c r="L1617" s="19" t="s">
        <v>1262</v>
      </c>
      <c r="M1617" s="24" t="s">
        <v>82</v>
      </c>
    </row>
    <row r="1618" spans="12:13" x14ac:dyDescent="0.3">
      <c r="L1618" s="18" t="s">
        <v>238</v>
      </c>
      <c r="M1618" s="23" t="s">
        <v>82</v>
      </c>
    </row>
    <row r="1619" spans="12:13" x14ac:dyDescent="0.3">
      <c r="L1619" s="19" t="s">
        <v>1263</v>
      </c>
      <c r="M1619" s="24" t="s">
        <v>82</v>
      </c>
    </row>
    <row r="1620" spans="12:13" x14ac:dyDescent="0.3">
      <c r="L1620" s="18" t="s">
        <v>382</v>
      </c>
      <c r="M1620" s="23" t="s">
        <v>82</v>
      </c>
    </row>
    <row r="1621" spans="12:13" x14ac:dyDescent="0.3">
      <c r="L1621" s="19" t="s">
        <v>1264</v>
      </c>
      <c r="M1621" s="24" t="s">
        <v>82</v>
      </c>
    </row>
    <row r="1622" spans="12:13" x14ac:dyDescent="0.3">
      <c r="L1622" s="18" t="s">
        <v>517</v>
      </c>
      <c r="M1622" s="23" t="s">
        <v>82</v>
      </c>
    </row>
    <row r="1623" spans="12:13" x14ac:dyDescent="0.3">
      <c r="L1623" s="19" t="s">
        <v>338</v>
      </c>
      <c r="M1623" s="24" t="s">
        <v>82</v>
      </c>
    </row>
    <row r="1624" spans="12:13" x14ac:dyDescent="0.3">
      <c r="L1624" s="18" t="s">
        <v>1265</v>
      </c>
      <c r="M1624" s="23" t="s">
        <v>82</v>
      </c>
    </row>
    <row r="1625" spans="12:13" x14ac:dyDescent="0.3">
      <c r="L1625" s="19" t="s">
        <v>246</v>
      </c>
      <c r="M1625" s="24" t="s">
        <v>82</v>
      </c>
    </row>
    <row r="1626" spans="12:13" x14ac:dyDescent="0.3">
      <c r="L1626" s="18" t="s">
        <v>1266</v>
      </c>
      <c r="M1626" s="23" t="s">
        <v>82</v>
      </c>
    </row>
    <row r="1627" spans="12:13" x14ac:dyDescent="0.3">
      <c r="L1627" s="19" t="s">
        <v>456</v>
      </c>
      <c r="M1627" s="24" t="s">
        <v>82</v>
      </c>
    </row>
    <row r="1628" spans="12:13" x14ac:dyDescent="0.3">
      <c r="L1628" s="18" t="s">
        <v>1267</v>
      </c>
      <c r="M1628" s="23" t="s">
        <v>82</v>
      </c>
    </row>
    <row r="1629" spans="12:13" x14ac:dyDescent="0.3">
      <c r="L1629" s="19" t="s">
        <v>1268</v>
      </c>
      <c r="M1629" s="24" t="s">
        <v>82</v>
      </c>
    </row>
    <row r="1630" spans="12:13" x14ac:dyDescent="0.3">
      <c r="L1630" s="18" t="s">
        <v>462</v>
      </c>
      <c r="M1630" s="23" t="s">
        <v>82</v>
      </c>
    </row>
    <row r="1631" spans="12:13" x14ac:dyDescent="0.3">
      <c r="L1631" s="19" t="s">
        <v>1269</v>
      </c>
      <c r="M1631" s="24" t="s">
        <v>82</v>
      </c>
    </row>
    <row r="1632" spans="12:13" x14ac:dyDescent="0.3">
      <c r="L1632" s="18" t="s">
        <v>347</v>
      </c>
      <c r="M1632" s="23" t="s">
        <v>82</v>
      </c>
    </row>
    <row r="1633" spans="12:13" x14ac:dyDescent="0.3">
      <c r="L1633" s="19" t="s">
        <v>1270</v>
      </c>
      <c r="M1633" s="24" t="s">
        <v>82</v>
      </c>
    </row>
    <row r="1634" spans="12:13" x14ac:dyDescent="0.3">
      <c r="L1634" s="18" t="s">
        <v>1271</v>
      </c>
      <c r="M1634" s="23" t="s">
        <v>82</v>
      </c>
    </row>
    <row r="1635" spans="12:13" x14ac:dyDescent="0.3">
      <c r="L1635" s="19" t="s">
        <v>937</v>
      </c>
      <c r="M1635" s="24" t="s">
        <v>82</v>
      </c>
    </row>
    <row r="1636" spans="12:13" x14ac:dyDescent="0.3">
      <c r="L1636" s="18" t="s">
        <v>351</v>
      </c>
      <c r="M1636" s="23" t="s">
        <v>82</v>
      </c>
    </row>
    <row r="1637" spans="12:13" x14ac:dyDescent="0.3">
      <c r="L1637" s="19" t="s">
        <v>1272</v>
      </c>
      <c r="M1637" s="24" t="s">
        <v>82</v>
      </c>
    </row>
    <row r="1638" spans="12:13" x14ac:dyDescent="0.3">
      <c r="L1638" s="18" t="s">
        <v>724</v>
      </c>
      <c r="M1638" s="23" t="s">
        <v>82</v>
      </c>
    </row>
    <row r="1639" spans="12:13" x14ac:dyDescent="0.3">
      <c r="L1639" s="19" t="s">
        <v>1273</v>
      </c>
      <c r="M1639" s="24" t="s">
        <v>82</v>
      </c>
    </row>
    <row r="1640" spans="12:13" x14ac:dyDescent="0.3">
      <c r="L1640" s="18" t="s">
        <v>1274</v>
      </c>
      <c r="M1640" s="23" t="s">
        <v>82</v>
      </c>
    </row>
    <row r="1641" spans="12:13" x14ac:dyDescent="0.3">
      <c r="L1641" s="19" t="s">
        <v>1275</v>
      </c>
      <c r="M1641" s="24" t="s">
        <v>82</v>
      </c>
    </row>
    <row r="1642" spans="12:13" x14ac:dyDescent="0.3">
      <c r="L1642" s="18" t="s">
        <v>877</v>
      </c>
      <c r="M1642" s="23" t="s">
        <v>82</v>
      </c>
    </row>
    <row r="1643" spans="12:13" x14ac:dyDescent="0.3">
      <c r="L1643" s="19" t="s">
        <v>1276</v>
      </c>
      <c r="M1643" s="24" t="s">
        <v>82</v>
      </c>
    </row>
    <row r="1644" spans="12:13" x14ac:dyDescent="0.3">
      <c r="L1644" s="18" t="s">
        <v>1277</v>
      </c>
      <c r="M1644" s="23" t="s">
        <v>82</v>
      </c>
    </row>
    <row r="1645" spans="12:13" x14ac:dyDescent="0.3">
      <c r="L1645" s="19" t="s">
        <v>1278</v>
      </c>
      <c r="M1645" s="24" t="s">
        <v>82</v>
      </c>
    </row>
    <row r="1646" spans="12:13" x14ac:dyDescent="0.3">
      <c r="L1646" s="18" t="s">
        <v>681</v>
      </c>
      <c r="M1646" s="23" t="s">
        <v>82</v>
      </c>
    </row>
    <row r="1647" spans="12:13" x14ac:dyDescent="0.3">
      <c r="L1647" s="19" t="s">
        <v>1279</v>
      </c>
      <c r="M1647" s="24" t="s">
        <v>82</v>
      </c>
    </row>
    <row r="1648" spans="12:13" x14ac:dyDescent="0.3">
      <c r="L1648" s="18" t="s">
        <v>1280</v>
      </c>
      <c r="M1648" s="23" t="s">
        <v>82</v>
      </c>
    </row>
    <row r="1649" spans="12:13" x14ac:dyDescent="0.3">
      <c r="L1649" s="19" t="s">
        <v>683</v>
      </c>
      <c r="M1649" s="24" t="s">
        <v>82</v>
      </c>
    </row>
    <row r="1650" spans="12:13" x14ac:dyDescent="0.3">
      <c r="L1650" s="18" t="s">
        <v>1281</v>
      </c>
      <c r="M1650" s="23" t="s">
        <v>82</v>
      </c>
    </row>
    <row r="1651" spans="12:13" x14ac:dyDescent="0.3">
      <c r="L1651" s="19" t="s">
        <v>1282</v>
      </c>
      <c r="M1651" s="24" t="s">
        <v>82</v>
      </c>
    </row>
    <row r="1652" spans="12:13" x14ac:dyDescent="0.3">
      <c r="L1652" s="18" t="s">
        <v>1283</v>
      </c>
      <c r="M1652" s="23" t="s">
        <v>82</v>
      </c>
    </row>
    <row r="1653" spans="12:13" x14ac:dyDescent="0.3">
      <c r="L1653" s="19" t="s">
        <v>1284</v>
      </c>
      <c r="M1653" s="24" t="s">
        <v>82</v>
      </c>
    </row>
    <row r="1654" spans="12:13" x14ac:dyDescent="0.3">
      <c r="L1654" s="18" t="s">
        <v>422</v>
      </c>
      <c r="M1654" s="23" t="s">
        <v>81</v>
      </c>
    </row>
    <row r="1655" spans="12:13" x14ac:dyDescent="0.3">
      <c r="L1655" s="19" t="s">
        <v>1285</v>
      </c>
      <c r="M1655" s="24" t="s">
        <v>81</v>
      </c>
    </row>
    <row r="1656" spans="12:13" x14ac:dyDescent="0.3">
      <c r="L1656" s="18" t="s">
        <v>1286</v>
      </c>
      <c r="M1656" s="23" t="s">
        <v>81</v>
      </c>
    </row>
    <row r="1657" spans="12:13" x14ac:dyDescent="0.3">
      <c r="L1657" s="19" t="s">
        <v>1287</v>
      </c>
      <c r="M1657" s="24" t="s">
        <v>81</v>
      </c>
    </row>
    <row r="1658" spans="12:13" x14ac:dyDescent="0.3">
      <c r="L1658" s="18" t="s">
        <v>656</v>
      </c>
      <c r="M1658" s="23" t="s">
        <v>81</v>
      </c>
    </row>
    <row r="1659" spans="12:13" x14ac:dyDescent="0.3">
      <c r="L1659" s="19" t="s">
        <v>313</v>
      </c>
      <c r="M1659" s="24" t="s">
        <v>81</v>
      </c>
    </row>
    <row r="1660" spans="12:13" x14ac:dyDescent="0.3">
      <c r="L1660" s="18" t="s">
        <v>1288</v>
      </c>
      <c r="M1660" s="23" t="s">
        <v>81</v>
      </c>
    </row>
    <row r="1661" spans="12:13" x14ac:dyDescent="0.3">
      <c r="L1661" s="19" t="s">
        <v>895</v>
      </c>
      <c r="M1661" s="24" t="s">
        <v>81</v>
      </c>
    </row>
    <row r="1662" spans="12:13" x14ac:dyDescent="0.3">
      <c r="L1662" s="18" t="s">
        <v>686</v>
      </c>
      <c r="M1662" s="23" t="s">
        <v>81</v>
      </c>
    </row>
    <row r="1663" spans="12:13" x14ac:dyDescent="0.3">
      <c r="L1663" s="19" t="s">
        <v>1289</v>
      </c>
      <c r="M1663" s="24" t="s">
        <v>81</v>
      </c>
    </row>
    <row r="1664" spans="12:13" x14ac:dyDescent="0.3">
      <c r="L1664" s="18" t="s">
        <v>1290</v>
      </c>
      <c r="M1664" s="23" t="s">
        <v>81</v>
      </c>
    </row>
    <row r="1665" spans="12:13" x14ac:dyDescent="0.3">
      <c r="L1665" s="19" t="s">
        <v>208</v>
      </c>
      <c r="M1665" s="24" t="s">
        <v>81</v>
      </c>
    </row>
    <row r="1666" spans="12:13" x14ac:dyDescent="0.3">
      <c r="L1666" s="18" t="s">
        <v>688</v>
      </c>
      <c r="M1666" s="23" t="s">
        <v>81</v>
      </c>
    </row>
    <row r="1667" spans="12:13" x14ac:dyDescent="0.3">
      <c r="L1667" s="19" t="s">
        <v>787</v>
      </c>
      <c r="M1667" s="24" t="s">
        <v>81</v>
      </c>
    </row>
    <row r="1668" spans="12:13" x14ac:dyDescent="0.3">
      <c r="L1668" s="18" t="s">
        <v>829</v>
      </c>
      <c r="M1668" s="23" t="s">
        <v>81</v>
      </c>
    </row>
    <row r="1669" spans="12:13" x14ac:dyDescent="0.3">
      <c r="L1669" s="19" t="s">
        <v>1291</v>
      </c>
      <c r="M1669" s="24" t="s">
        <v>81</v>
      </c>
    </row>
    <row r="1670" spans="12:13" x14ac:dyDescent="0.3">
      <c r="L1670" s="18" t="s">
        <v>430</v>
      </c>
      <c r="M1670" s="23" t="s">
        <v>81</v>
      </c>
    </row>
    <row r="1671" spans="12:13" x14ac:dyDescent="0.3">
      <c r="L1671" s="19" t="s">
        <v>215</v>
      </c>
      <c r="M1671" s="24" t="s">
        <v>81</v>
      </c>
    </row>
    <row r="1672" spans="12:13" x14ac:dyDescent="0.3">
      <c r="L1672" s="18" t="s">
        <v>1292</v>
      </c>
      <c r="M1672" s="23" t="s">
        <v>81</v>
      </c>
    </row>
    <row r="1673" spans="12:13" x14ac:dyDescent="0.3">
      <c r="L1673" s="19" t="s">
        <v>1293</v>
      </c>
      <c r="M1673" s="24" t="s">
        <v>81</v>
      </c>
    </row>
    <row r="1674" spans="12:13" x14ac:dyDescent="0.3">
      <c r="L1674" s="18" t="s">
        <v>435</v>
      </c>
      <c r="M1674" s="23" t="s">
        <v>81</v>
      </c>
    </row>
    <row r="1675" spans="12:13" x14ac:dyDescent="0.3">
      <c r="L1675" s="19" t="s">
        <v>1120</v>
      </c>
      <c r="M1675" s="24" t="s">
        <v>81</v>
      </c>
    </row>
    <row r="1676" spans="12:13" x14ac:dyDescent="0.3">
      <c r="L1676" s="18" t="s">
        <v>1294</v>
      </c>
      <c r="M1676" s="23" t="s">
        <v>81</v>
      </c>
    </row>
    <row r="1677" spans="12:13" x14ac:dyDescent="0.3">
      <c r="L1677" s="19" t="s">
        <v>567</v>
      </c>
      <c r="M1677" s="24" t="s">
        <v>81</v>
      </c>
    </row>
    <row r="1678" spans="12:13" x14ac:dyDescent="0.3">
      <c r="L1678" s="18" t="s">
        <v>1295</v>
      </c>
      <c r="M1678" s="23" t="s">
        <v>81</v>
      </c>
    </row>
    <row r="1679" spans="12:13" x14ac:dyDescent="0.3">
      <c r="L1679" s="19" t="s">
        <v>1296</v>
      </c>
      <c r="M1679" s="24" t="s">
        <v>81</v>
      </c>
    </row>
    <row r="1680" spans="12:13" x14ac:dyDescent="0.3">
      <c r="L1680" s="18" t="s">
        <v>570</v>
      </c>
      <c r="M1680" s="23" t="s">
        <v>81</v>
      </c>
    </row>
    <row r="1681" spans="12:13" x14ac:dyDescent="0.3">
      <c r="L1681" s="19" t="s">
        <v>439</v>
      </c>
      <c r="M1681" s="24" t="s">
        <v>81</v>
      </c>
    </row>
    <row r="1682" spans="12:13" x14ac:dyDescent="0.3">
      <c r="L1682" s="18" t="s">
        <v>1297</v>
      </c>
      <c r="M1682" s="23" t="s">
        <v>81</v>
      </c>
    </row>
    <row r="1683" spans="12:13" x14ac:dyDescent="0.3">
      <c r="L1683" s="19" t="s">
        <v>1122</v>
      </c>
      <c r="M1683" s="24" t="s">
        <v>81</v>
      </c>
    </row>
    <row r="1684" spans="12:13" x14ac:dyDescent="0.3">
      <c r="L1684" s="18" t="s">
        <v>231</v>
      </c>
      <c r="M1684" s="23" t="s">
        <v>81</v>
      </c>
    </row>
    <row r="1685" spans="12:13" x14ac:dyDescent="0.3">
      <c r="L1685" s="19" t="s">
        <v>1298</v>
      </c>
      <c r="M1685" s="24" t="s">
        <v>81</v>
      </c>
    </row>
    <row r="1686" spans="12:13" x14ac:dyDescent="0.3">
      <c r="L1686" s="18" t="s">
        <v>1299</v>
      </c>
      <c r="M1686" s="23" t="s">
        <v>81</v>
      </c>
    </row>
    <row r="1687" spans="12:13" x14ac:dyDescent="0.3">
      <c r="L1687" s="19" t="s">
        <v>1300</v>
      </c>
      <c r="M1687" s="24" t="s">
        <v>81</v>
      </c>
    </row>
    <row r="1688" spans="12:13" x14ac:dyDescent="0.3">
      <c r="L1688" s="18" t="s">
        <v>1301</v>
      </c>
      <c r="M1688" s="23" t="s">
        <v>81</v>
      </c>
    </row>
    <row r="1689" spans="12:13" x14ac:dyDescent="0.3">
      <c r="L1689" s="19" t="s">
        <v>444</v>
      </c>
      <c r="M1689" s="24" t="s">
        <v>81</v>
      </c>
    </row>
    <row r="1690" spans="12:13" x14ac:dyDescent="0.3">
      <c r="L1690" s="18" t="s">
        <v>1302</v>
      </c>
      <c r="M1690" s="23" t="s">
        <v>81</v>
      </c>
    </row>
    <row r="1691" spans="12:13" x14ac:dyDescent="0.3">
      <c r="L1691" s="19" t="s">
        <v>330</v>
      </c>
      <c r="M1691" s="24" t="s">
        <v>81</v>
      </c>
    </row>
    <row r="1692" spans="12:13" x14ac:dyDescent="0.3">
      <c r="L1692" s="18" t="s">
        <v>843</v>
      </c>
      <c r="M1692" s="23" t="s">
        <v>81</v>
      </c>
    </row>
    <row r="1693" spans="12:13" x14ac:dyDescent="0.3">
      <c r="L1693" s="19" t="s">
        <v>588</v>
      </c>
      <c r="M1693" s="24" t="s">
        <v>81</v>
      </c>
    </row>
    <row r="1694" spans="12:13" x14ac:dyDescent="0.3">
      <c r="L1694" s="18" t="s">
        <v>507</v>
      </c>
      <c r="M1694" s="23" t="s">
        <v>81</v>
      </c>
    </row>
    <row r="1695" spans="12:13" x14ac:dyDescent="0.3">
      <c r="L1695" s="19" t="s">
        <v>916</v>
      </c>
      <c r="M1695" s="24" t="s">
        <v>81</v>
      </c>
    </row>
    <row r="1696" spans="12:13" x14ac:dyDescent="0.3">
      <c r="L1696" s="18" t="s">
        <v>1303</v>
      </c>
      <c r="M1696" s="23" t="s">
        <v>81</v>
      </c>
    </row>
    <row r="1697" spans="12:13" x14ac:dyDescent="0.3">
      <c r="L1697" s="19" t="s">
        <v>1304</v>
      </c>
      <c r="M1697" s="24" t="s">
        <v>81</v>
      </c>
    </row>
    <row r="1698" spans="12:13" x14ac:dyDescent="0.3">
      <c r="L1698" s="18" t="s">
        <v>1221</v>
      </c>
      <c r="M1698" s="23" t="s">
        <v>81</v>
      </c>
    </row>
    <row r="1699" spans="12:13" x14ac:dyDescent="0.3">
      <c r="L1699" s="19" t="s">
        <v>1305</v>
      </c>
      <c r="M1699" s="24" t="s">
        <v>81</v>
      </c>
    </row>
    <row r="1700" spans="12:13" x14ac:dyDescent="0.3">
      <c r="L1700" s="18" t="s">
        <v>333</v>
      </c>
      <c r="M1700" s="23" t="s">
        <v>81</v>
      </c>
    </row>
    <row r="1701" spans="12:13" x14ac:dyDescent="0.3">
      <c r="L1701" s="19" t="s">
        <v>238</v>
      </c>
      <c r="M1701" s="24" t="s">
        <v>81</v>
      </c>
    </row>
    <row r="1702" spans="12:13" x14ac:dyDescent="0.3">
      <c r="L1702" s="18" t="s">
        <v>336</v>
      </c>
      <c r="M1702" s="23" t="s">
        <v>81</v>
      </c>
    </row>
    <row r="1703" spans="12:13" x14ac:dyDescent="0.3">
      <c r="L1703" s="19" t="s">
        <v>1306</v>
      </c>
      <c r="M1703" s="24" t="s">
        <v>81</v>
      </c>
    </row>
    <row r="1704" spans="12:13" x14ac:dyDescent="0.3">
      <c r="L1704" s="18" t="s">
        <v>1307</v>
      </c>
      <c r="M1704" s="23" t="s">
        <v>81</v>
      </c>
    </row>
    <row r="1705" spans="12:13" x14ac:dyDescent="0.3">
      <c r="L1705" s="19" t="s">
        <v>1308</v>
      </c>
      <c r="M1705" s="24" t="s">
        <v>81</v>
      </c>
    </row>
    <row r="1706" spans="12:13" x14ac:dyDescent="0.3">
      <c r="L1706" s="18" t="s">
        <v>1309</v>
      </c>
      <c r="M1706" s="23" t="s">
        <v>81</v>
      </c>
    </row>
    <row r="1707" spans="12:13" x14ac:dyDescent="0.3">
      <c r="L1707" s="19" t="s">
        <v>709</v>
      </c>
      <c r="M1707" s="24" t="s">
        <v>81</v>
      </c>
    </row>
    <row r="1708" spans="12:13" x14ac:dyDescent="0.3">
      <c r="L1708" s="18" t="s">
        <v>1310</v>
      </c>
      <c r="M1708" s="23" t="s">
        <v>81</v>
      </c>
    </row>
    <row r="1709" spans="12:13" x14ac:dyDescent="0.3">
      <c r="L1709" s="19" t="s">
        <v>338</v>
      </c>
      <c r="M1709" s="24" t="s">
        <v>81</v>
      </c>
    </row>
    <row r="1710" spans="12:13" x14ac:dyDescent="0.3">
      <c r="L1710" s="18" t="s">
        <v>340</v>
      </c>
      <c r="M1710" s="23" t="s">
        <v>81</v>
      </c>
    </row>
    <row r="1711" spans="12:13" x14ac:dyDescent="0.3">
      <c r="L1711" s="19" t="s">
        <v>1311</v>
      </c>
      <c r="M1711" s="24" t="s">
        <v>81</v>
      </c>
    </row>
    <row r="1712" spans="12:13" x14ac:dyDescent="0.3">
      <c r="L1712" s="18" t="s">
        <v>855</v>
      </c>
      <c r="M1712" s="23" t="s">
        <v>81</v>
      </c>
    </row>
    <row r="1713" spans="12:13" x14ac:dyDescent="0.3">
      <c r="L1713" s="19" t="s">
        <v>246</v>
      </c>
      <c r="M1713" s="24" t="s">
        <v>81</v>
      </c>
    </row>
    <row r="1714" spans="12:13" x14ac:dyDescent="0.3">
      <c r="L1714" s="18" t="s">
        <v>1312</v>
      </c>
      <c r="M1714" s="23" t="s">
        <v>81</v>
      </c>
    </row>
    <row r="1715" spans="12:13" x14ac:dyDescent="0.3">
      <c r="L1715" s="19" t="s">
        <v>1313</v>
      </c>
      <c r="M1715" s="24" t="s">
        <v>81</v>
      </c>
    </row>
    <row r="1716" spans="12:13" x14ac:dyDescent="0.3">
      <c r="L1716" s="18" t="s">
        <v>1314</v>
      </c>
      <c r="M1716" s="23" t="s">
        <v>81</v>
      </c>
    </row>
    <row r="1717" spans="12:13" x14ac:dyDescent="0.3">
      <c r="L1717" s="19" t="s">
        <v>859</v>
      </c>
      <c r="M1717" s="24" t="s">
        <v>81</v>
      </c>
    </row>
    <row r="1718" spans="12:13" x14ac:dyDescent="0.3">
      <c r="L1718" s="18" t="s">
        <v>1315</v>
      </c>
      <c r="M1718" s="23" t="s">
        <v>81</v>
      </c>
    </row>
    <row r="1719" spans="12:13" x14ac:dyDescent="0.3">
      <c r="L1719" s="19" t="s">
        <v>1316</v>
      </c>
      <c r="M1719" s="24" t="s">
        <v>81</v>
      </c>
    </row>
    <row r="1720" spans="12:13" x14ac:dyDescent="0.3">
      <c r="L1720" s="18" t="s">
        <v>866</v>
      </c>
      <c r="M1720" s="23" t="s">
        <v>81</v>
      </c>
    </row>
    <row r="1721" spans="12:13" x14ac:dyDescent="0.3">
      <c r="L1721" s="19" t="s">
        <v>1317</v>
      </c>
      <c r="M1721" s="24" t="s">
        <v>81</v>
      </c>
    </row>
    <row r="1722" spans="12:13" x14ac:dyDescent="0.3">
      <c r="L1722" s="18" t="s">
        <v>1233</v>
      </c>
      <c r="M1722" s="23" t="s">
        <v>81</v>
      </c>
    </row>
    <row r="1723" spans="12:13" x14ac:dyDescent="0.3">
      <c r="L1723" s="19" t="s">
        <v>613</v>
      </c>
      <c r="M1723" s="24" t="s">
        <v>81</v>
      </c>
    </row>
    <row r="1724" spans="12:13" x14ac:dyDescent="0.3">
      <c r="L1724" s="18" t="s">
        <v>1234</v>
      </c>
      <c r="M1724" s="23" t="s">
        <v>81</v>
      </c>
    </row>
    <row r="1725" spans="12:13" x14ac:dyDescent="0.3">
      <c r="L1725" s="19" t="s">
        <v>349</v>
      </c>
      <c r="M1725" s="24" t="s">
        <v>81</v>
      </c>
    </row>
    <row r="1726" spans="12:13" x14ac:dyDescent="0.3">
      <c r="L1726" s="18" t="s">
        <v>1318</v>
      </c>
      <c r="M1726" s="23" t="s">
        <v>81</v>
      </c>
    </row>
    <row r="1727" spans="12:13" x14ac:dyDescent="0.3">
      <c r="L1727" s="19" t="s">
        <v>1319</v>
      </c>
      <c r="M1727" s="24" t="s">
        <v>81</v>
      </c>
    </row>
    <row r="1728" spans="12:13" x14ac:dyDescent="0.3">
      <c r="L1728" s="18" t="s">
        <v>1154</v>
      </c>
      <c r="M1728" s="23" t="s">
        <v>81</v>
      </c>
    </row>
    <row r="1729" spans="12:13" x14ac:dyDescent="0.3">
      <c r="L1729" s="19" t="s">
        <v>354</v>
      </c>
      <c r="M1729" s="24" t="s">
        <v>81</v>
      </c>
    </row>
    <row r="1730" spans="12:13" x14ac:dyDescent="0.3">
      <c r="L1730" s="18" t="s">
        <v>1320</v>
      </c>
      <c r="M1730" s="23" t="s">
        <v>81</v>
      </c>
    </row>
    <row r="1731" spans="12:13" x14ac:dyDescent="0.3">
      <c r="L1731" s="19" t="s">
        <v>1321</v>
      </c>
      <c r="M1731" s="24" t="s">
        <v>81</v>
      </c>
    </row>
    <row r="1732" spans="12:13" x14ac:dyDescent="0.3">
      <c r="L1732" s="18" t="s">
        <v>1322</v>
      </c>
      <c r="M1732" s="23" t="s">
        <v>81</v>
      </c>
    </row>
    <row r="1733" spans="12:13" x14ac:dyDescent="0.3">
      <c r="L1733" s="19" t="s">
        <v>875</v>
      </c>
      <c r="M1733" s="24" t="s">
        <v>81</v>
      </c>
    </row>
    <row r="1734" spans="12:13" x14ac:dyDescent="0.3">
      <c r="L1734" s="18" t="s">
        <v>877</v>
      </c>
      <c r="M1734" s="23" t="s">
        <v>81</v>
      </c>
    </row>
    <row r="1735" spans="12:13" x14ac:dyDescent="0.3">
      <c r="L1735" s="19" t="s">
        <v>878</v>
      </c>
      <c r="M1735" s="24" t="s">
        <v>81</v>
      </c>
    </row>
    <row r="1736" spans="12:13" x14ac:dyDescent="0.3">
      <c r="L1736" s="18" t="s">
        <v>817</v>
      </c>
      <c r="M1736" s="23" t="s">
        <v>81</v>
      </c>
    </row>
    <row r="1737" spans="12:13" x14ac:dyDescent="0.3">
      <c r="L1737" s="19" t="s">
        <v>881</v>
      </c>
      <c r="M1737" s="24" t="s">
        <v>81</v>
      </c>
    </row>
    <row r="1738" spans="12:13" x14ac:dyDescent="0.3">
      <c r="L1738" s="18" t="s">
        <v>1323</v>
      </c>
      <c r="M1738" s="23" t="s">
        <v>81</v>
      </c>
    </row>
    <row r="1739" spans="12:13" x14ac:dyDescent="0.3">
      <c r="L1739" s="19" t="s">
        <v>628</v>
      </c>
      <c r="M1739" s="24" t="s">
        <v>81</v>
      </c>
    </row>
    <row r="1740" spans="12:13" x14ac:dyDescent="0.3">
      <c r="L1740" s="18" t="s">
        <v>1324</v>
      </c>
      <c r="M1740" s="23" t="s">
        <v>81</v>
      </c>
    </row>
    <row r="1741" spans="12:13" x14ac:dyDescent="0.3">
      <c r="L1741" s="19" t="s">
        <v>683</v>
      </c>
      <c r="M1741" s="24" t="s">
        <v>81</v>
      </c>
    </row>
    <row r="1742" spans="12:13" x14ac:dyDescent="0.3">
      <c r="L1742" s="18" t="s">
        <v>266</v>
      </c>
      <c r="M1742" s="23" t="s">
        <v>81</v>
      </c>
    </row>
    <row r="1743" spans="12:13" x14ac:dyDescent="0.3">
      <c r="L1743" s="19" t="s">
        <v>639</v>
      </c>
      <c r="M1743" s="24" t="s">
        <v>81</v>
      </c>
    </row>
    <row r="1744" spans="12:13" x14ac:dyDescent="0.3">
      <c r="L1744" s="18" t="s">
        <v>640</v>
      </c>
      <c r="M1744" s="23" t="s">
        <v>81</v>
      </c>
    </row>
    <row r="1745" spans="12:13" x14ac:dyDescent="0.3">
      <c r="L1745" s="19" t="s">
        <v>641</v>
      </c>
      <c r="M1745" s="24" t="s">
        <v>81</v>
      </c>
    </row>
    <row r="1746" spans="12:13" x14ac:dyDescent="0.3">
      <c r="L1746" s="18" t="s">
        <v>1019</v>
      </c>
      <c r="M1746" s="23" t="s">
        <v>81</v>
      </c>
    </row>
    <row r="1747" spans="12:13" x14ac:dyDescent="0.3">
      <c r="L1747" s="19" t="s">
        <v>1325</v>
      </c>
      <c r="M1747" s="24" t="s">
        <v>80</v>
      </c>
    </row>
    <row r="1748" spans="12:13" x14ac:dyDescent="0.3">
      <c r="L1748" s="18" t="s">
        <v>317</v>
      </c>
      <c r="M1748" s="23" t="s">
        <v>80</v>
      </c>
    </row>
    <row r="1749" spans="12:13" x14ac:dyDescent="0.3">
      <c r="L1749" s="19" t="s">
        <v>439</v>
      </c>
      <c r="M1749" s="24" t="s">
        <v>80</v>
      </c>
    </row>
    <row r="1750" spans="12:13" x14ac:dyDescent="0.3">
      <c r="L1750" s="18" t="s">
        <v>1326</v>
      </c>
      <c r="M1750" s="23" t="s">
        <v>80</v>
      </c>
    </row>
    <row r="1751" spans="12:13" x14ac:dyDescent="0.3">
      <c r="L1751" s="19" t="s">
        <v>1327</v>
      </c>
      <c r="M1751" s="24" t="s">
        <v>80</v>
      </c>
    </row>
    <row r="1752" spans="12:13" x14ac:dyDescent="0.3">
      <c r="L1752" s="18" t="s">
        <v>1328</v>
      </c>
      <c r="M1752" s="23" t="s">
        <v>80</v>
      </c>
    </row>
    <row r="1753" spans="12:13" x14ac:dyDescent="0.3">
      <c r="L1753" s="19" t="s">
        <v>377</v>
      </c>
      <c r="M1753" s="24" t="s">
        <v>80</v>
      </c>
    </row>
    <row r="1754" spans="12:13" x14ac:dyDescent="0.3">
      <c r="L1754" s="18" t="s">
        <v>1329</v>
      </c>
      <c r="M1754" s="23" t="s">
        <v>80</v>
      </c>
    </row>
    <row r="1755" spans="12:13" x14ac:dyDescent="0.3">
      <c r="L1755" s="19" t="s">
        <v>338</v>
      </c>
      <c r="M1755" s="24" t="s">
        <v>80</v>
      </c>
    </row>
    <row r="1756" spans="12:13" x14ac:dyDescent="0.3">
      <c r="L1756" s="18" t="s">
        <v>803</v>
      </c>
      <c r="M1756" s="23" t="s">
        <v>80</v>
      </c>
    </row>
    <row r="1757" spans="12:13" x14ac:dyDescent="0.3">
      <c r="L1757" s="19" t="s">
        <v>456</v>
      </c>
      <c r="M1757" s="24" t="s">
        <v>80</v>
      </c>
    </row>
    <row r="1758" spans="12:13" x14ac:dyDescent="0.3">
      <c r="L1758" s="18" t="s">
        <v>1330</v>
      </c>
      <c r="M1758" s="23" t="s">
        <v>80</v>
      </c>
    </row>
    <row r="1759" spans="12:13" x14ac:dyDescent="0.3">
      <c r="L1759" s="19" t="s">
        <v>1331</v>
      </c>
      <c r="M1759" s="24" t="s">
        <v>80</v>
      </c>
    </row>
    <row r="1760" spans="12:13" x14ac:dyDescent="0.3">
      <c r="L1760" s="18" t="s">
        <v>1332</v>
      </c>
      <c r="M1760" s="23" t="s">
        <v>80</v>
      </c>
    </row>
    <row r="1761" spans="12:13" x14ac:dyDescent="0.3">
      <c r="L1761" s="19" t="s">
        <v>1333</v>
      </c>
      <c r="M1761" s="24" t="s">
        <v>80</v>
      </c>
    </row>
    <row r="1762" spans="12:13" x14ac:dyDescent="0.3">
      <c r="L1762" s="18" t="s">
        <v>1334</v>
      </c>
      <c r="M1762" s="23" t="s">
        <v>80</v>
      </c>
    </row>
    <row r="1763" spans="12:13" x14ac:dyDescent="0.3">
      <c r="L1763" s="19" t="s">
        <v>1335</v>
      </c>
      <c r="M1763" s="24" t="s">
        <v>80</v>
      </c>
    </row>
    <row r="1764" spans="12:13" x14ac:dyDescent="0.3">
      <c r="L1764" s="18" t="s">
        <v>1336</v>
      </c>
      <c r="M1764" s="23" t="s">
        <v>79</v>
      </c>
    </row>
    <row r="1765" spans="12:13" x14ac:dyDescent="0.3">
      <c r="L1765" s="19" t="s">
        <v>315</v>
      </c>
      <c r="M1765" s="24" t="s">
        <v>79</v>
      </c>
    </row>
    <row r="1766" spans="12:13" x14ac:dyDescent="0.3">
      <c r="L1766" s="18" t="s">
        <v>1337</v>
      </c>
      <c r="M1766" s="23" t="s">
        <v>79</v>
      </c>
    </row>
    <row r="1767" spans="12:13" x14ac:dyDescent="0.3">
      <c r="L1767" s="19" t="s">
        <v>1338</v>
      </c>
      <c r="M1767" s="24" t="s">
        <v>79</v>
      </c>
    </row>
    <row r="1768" spans="12:13" x14ac:dyDescent="0.3">
      <c r="L1768" s="18" t="s">
        <v>1339</v>
      </c>
      <c r="M1768" s="23" t="s">
        <v>79</v>
      </c>
    </row>
    <row r="1769" spans="12:13" x14ac:dyDescent="0.3">
      <c r="L1769" s="19" t="s">
        <v>512</v>
      </c>
      <c r="M1769" s="24" t="s">
        <v>79</v>
      </c>
    </row>
    <row r="1770" spans="12:13" x14ac:dyDescent="0.3">
      <c r="L1770" s="18" t="s">
        <v>1340</v>
      </c>
      <c r="M1770" s="23" t="s">
        <v>79</v>
      </c>
    </row>
    <row r="1771" spans="12:13" x14ac:dyDescent="0.3">
      <c r="L1771" s="19" t="s">
        <v>1341</v>
      </c>
      <c r="M1771" s="24" t="s">
        <v>79</v>
      </c>
    </row>
    <row r="1772" spans="12:13" x14ac:dyDescent="0.3">
      <c r="L1772" s="18" t="s">
        <v>1342</v>
      </c>
      <c r="M1772" s="23" t="s">
        <v>79</v>
      </c>
    </row>
    <row r="1773" spans="12:13" x14ac:dyDescent="0.3">
      <c r="L1773" s="19" t="s">
        <v>769</v>
      </c>
      <c r="M1773" s="24" t="s">
        <v>79</v>
      </c>
    </row>
    <row r="1774" spans="12:13" x14ac:dyDescent="0.3">
      <c r="L1774" s="18" t="s">
        <v>1343</v>
      </c>
      <c r="M1774" s="23" t="s">
        <v>78</v>
      </c>
    </row>
    <row r="1775" spans="12:13" x14ac:dyDescent="0.3">
      <c r="L1775" s="19" t="s">
        <v>1344</v>
      </c>
      <c r="M1775" s="24" t="s">
        <v>78</v>
      </c>
    </row>
    <row r="1776" spans="12:13" x14ac:dyDescent="0.3">
      <c r="L1776" s="18" t="s">
        <v>1345</v>
      </c>
      <c r="M1776" s="23" t="s">
        <v>78</v>
      </c>
    </row>
    <row r="1777" spans="12:13" x14ac:dyDescent="0.3">
      <c r="L1777" s="19" t="s">
        <v>553</v>
      </c>
      <c r="M1777" s="24" t="s">
        <v>78</v>
      </c>
    </row>
    <row r="1778" spans="12:13" x14ac:dyDescent="0.3">
      <c r="L1778" s="18" t="s">
        <v>1346</v>
      </c>
      <c r="M1778" s="23" t="s">
        <v>78</v>
      </c>
    </row>
    <row r="1779" spans="12:13" x14ac:dyDescent="0.3">
      <c r="L1779" s="19" t="s">
        <v>693</v>
      </c>
      <c r="M1779" s="24" t="s">
        <v>78</v>
      </c>
    </row>
    <row r="1780" spans="12:13" x14ac:dyDescent="0.3">
      <c r="L1780" s="18" t="s">
        <v>1041</v>
      </c>
      <c r="M1780" s="23" t="s">
        <v>78</v>
      </c>
    </row>
    <row r="1781" spans="12:13" x14ac:dyDescent="0.3">
      <c r="L1781" s="19" t="s">
        <v>1347</v>
      </c>
      <c r="M1781" s="24" t="s">
        <v>78</v>
      </c>
    </row>
    <row r="1782" spans="12:13" x14ac:dyDescent="0.3">
      <c r="L1782" s="18" t="s">
        <v>1348</v>
      </c>
      <c r="M1782" s="23" t="s">
        <v>78</v>
      </c>
    </row>
    <row r="1783" spans="12:13" x14ac:dyDescent="0.3">
      <c r="L1783" s="19" t="s">
        <v>1349</v>
      </c>
      <c r="M1783" s="24" t="s">
        <v>78</v>
      </c>
    </row>
    <row r="1784" spans="12:13" x14ac:dyDescent="0.3">
      <c r="L1784" s="18" t="s">
        <v>719</v>
      </c>
      <c r="M1784" s="23" t="s">
        <v>78</v>
      </c>
    </row>
    <row r="1785" spans="12:13" x14ac:dyDescent="0.3">
      <c r="L1785" s="19" t="s">
        <v>479</v>
      </c>
      <c r="M1785" s="24" t="s">
        <v>78</v>
      </c>
    </row>
    <row r="1786" spans="12:13" x14ac:dyDescent="0.3">
      <c r="L1786" s="18" t="s">
        <v>1350</v>
      </c>
      <c r="M1786" s="23" t="s">
        <v>78</v>
      </c>
    </row>
    <row r="1787" spans="12:13" x14ac:dyDescent="0.3">
      <c r="L1787" s="19" t="s">
        <v>857</v>
      </c>
      <c r="M1787" s="24" t="s">
        <v>78</v>
      </c>
    </row>
    <row r="1788" spans="12:13" x14ac:dyDescent="0.3">
      <c r="L1788" s="18" t="s">
        <v>1351</v>
      </c>
      <c r="M1788" s="23" t="s">
        <v>78</v>
      </c>
    </row>
    <row r="1789" spans="12:13" x14ac:dyDescent="0.3">
      <c r="L1789" s="19" t="s">
        <v>1352</v>
      </c>
      <c r="M1789" s="24" t="s">
        <v>78</v>
      </c>
    </row>
    <row r="1790" spans="12:13" x14ac:dyDescent="0.3">
      <c r="L1790" s="18" t="s">
        <v>1353</v>
      </c>
      <c r="M1790" s="23" t="s">
        <v>78</v>
      </c>
    </row>
    <row r="1791" spans="12:13" x14ac:dyDescent="0.3">
      <c r="L1791" s="19" t="s">
        <v>1017</v>
      </c>
      <c r="M1791" s="24" t="s">
        <v>78</v>
      </c>
    </row>
    <row r="1792" spans="12:13" x14ac:dyDescent="0.3">
      <c r="L1792" s="18" t="s">
        <v>486</v>
      </c>
      <c r="M1792" s="23" t="s">
        <v>78</v>
      </c>
    </row>
    <row r="1793" spans="12:13" x14ac:dyDescent="0.3">
      <c r="L1793" s="19" t="s">
        <v>361</v>
      </c>
      <c r="M1793" s="24" t="s">
        <v>78</v>
      </c>
    </row>
    <row r="1794" spans="12:13" x14ac:dyDescent="0.3">
      <c r="L1794" s="18" t="s">
        <v>638</v>
      </c>
      <c r="M1794" s="23" t="s">
        <v>78</v>
      </c>
    </row>
    <row r="1795" spans="12:13" x14ac:dyDescent="0.3">
      <c r="L1795" s="19" t="s">
        <v>1354</v>
      </c>
      <c r="M1795" s="24" t="s">
        <v>77</v>
      </c>
    </row>
    <row r="1796" spans="12:13" x14ac:dyDescent="0.3">
      <c r="L1796" s="18" t="s">
        <v>1355</v>
      </c>
      <c r="M1796" s="23" t="s">
        <v>77</v>
      </c>
    </row>
    <row r="1797" spans="12:13" x14ac:dyDescent="0.3">
      <c r="L1797" s="19" t="s">
        <v>1356</v>
      </c>
      <c r="M1797" s="24" t="s">
        <v>77</v>
      </c>
    </row>
    <row r="1798" spans="12:13" x14ac:dyDescent="0.3">
      <c r="L1798" s="18" t="s">
        <v>1357</v>
      </c>
      <c r="M1798" s="23" t="s">
        <v>77</v>
      </c>
    </row>
    <row r="1799" spans="12:13" x14ac:dyDescent="0.3">
      <c r="L1799" s="19" t="s">
        <v>1292</v>
      </c>
      <c r="M1799" s="24" t="s">
        <v>77</v>
      </c>
    </row>
    <row r="1800" spans="12:13" x14ac:dyDescent="0.3">
      <c r="L1800" s="18" t="s">
        <v>1358</v>
      </c>
      <c r="M1800" s="23" t="s">
        <v>77</v>
      </c>
    </row>
    <row r="1801" spans="12:13" x14ac:dyDescent="0.3">
      <c r="L1801" s="19" t="s">
        <v>1359</v>
      </c>
      <c r="M1801" s="24" t="s">
        <v>77</v>
      </c>
    </row>
    <row r="1802" spans="12:13" x14ac:dyDescent="0.3">
      <c r="L1802" s="18" t="s">
        <v>1360</v>
      </c>
      <c r="M1802" s="23" t="s">
        <v>77</v>
      </c>
    </row>
    <row r="1803" spans="12:13" x14ac:dyDescent="0.3">
      <c r="L1803" s="19" t="s">
        <v>1361</v>
      </c>
      <c r="M1803" s="24" t="s">
        <v>77</v>
      </c>
    </row>
    <row r="1804" spans="12:13" x14ac:dyDescent="0.3">
      <c r="L1804" s="18" t="s">
        <v>330</v>
      </c>
      <c r="M1804" s="23" t="s">
        <v>77</v>
      </c>
    </row>
    <row r="1805" spans="12:13" x14ac:dyDescent="0.3">
      <c r="L1805" s="19" t="s">
        <v>1362</v>
      </c>
      <c r="M1805" s="24" t="s">
        <v>77</v>
      </c>
    </row>
    <row r="1806" spans="12:13" x14ac:dyDescent="0.3">
      <c r="L1806" s="18" t="s">
        <v>1363</v>
      </c>
      <c r="M1806" s="23" t="s">
        <v>77</v>
      </c>
    </row>
    <row r="1807" spans="12:13" x14ac:dyDescent="0.3">
      <c r="L1807" s="19" t="s">
        <v>1364</v>
      </c>
      <c r="M1807" s="24" t="s">
        <v>77</v>
      </c>
    </row>
    <row r="1808" spans="12:13" x14ac:dyDescent="0.3">
      <c r="L1808" s="18" t="s">
        <v>1365</v>
      </c>
      <c r="M1808" s="23" t="s">
        <v>77</v>
      </c>
    </row>
    <row r="1809" spans="12:13" x14ac:dyDescent="0.3">
      <c r="L1809" s="19" t="s">
        <v>338</v>
      </c>
      <c r="M1809" s="24" t="s">
        <v>77</v>
      </c>
    </row>
    <row r="1810" spans="12:13" x14ac:dyDescent="0.3">
      <c r="L1810" s="18" t="s">
        <v>1366</v>
      </c>
      <c r="M1810" s="23" t="s">
        <v>77</v>
      </c>
    </row>
    <row r="1811" spans="12:13" x14ac:dyDescent="0.3">
      <c r="L1811" s="19" t="s">
        <v>1367</v>
      </c>
      <c r="M1811" s="24" t="s">
        <v>77</v>
      </c>
    </row>
    <row r="1812" spans="12:13" x14ac:dyDescent="0.3">
      <c r="L1812" s="18" t="s">
        <v>1368</v>
      </c>
      <c r="M1812" s="23" t="s">
        <v>77</v>
      </c>
    </row>
    <row r="1813" spans="12:13" x14ac:dyDescent="0.3">
      <c r="L1813" s="19" t="s">
        <v>1369</v>
      </c>
      <c r="M1813" s="24" t="s">
        <v>77</v>
      </c>
    </row>
    <row r="1814" spans="12:13" x14ac:dyDescent="0.3">
      <c r="L1814" s="18" t="s">
        <v>460</v>
      </c>
      <c r="M1814" s="23" t="s">
        <v>77</v>
      </c>
    </row>
    <row r="1815" spans="12:13" x14ac:dyDescent="0.3">
      <c r="L1815" s="19" t="s">
        <v>1370</v>
      </c>
      <c r="M1815" s="24" t="s">
        <v>77</v>
      </c>
    </row>
    <row r="1816" spans="12:13" x14ac:dyDescent="0.3">
      <c r="L1816" s="18" t="s">
        <v>1371</v>
      </c>
      <c r="M1816" s="23" t="s">
        <v>77</v>
      </c>
    </row>
    <row r="1817" spans="12:13" x14ac:dyDescent="0.3">
      <c r="L1817" s="19" t="s">
        <v>1273</v>
      </c>
      <c r="M1817" s="24" t="s">
        <v>77</v>
      </c>
    </row>
    <row r="1818" spans="12:13" x14ac:dyDescent="0.3">
      <c r="L1818" s="18" t="s">
        <v>1372</v>
      </c>
      <c r="M1818" s="23" t="s">
        <v>77</v>
      </c>
    </row>
    <row r="1819" spans="12:13" x14ac:dyDescent="0.3">
      <c r="L1819" s="19" t="s">
        <v>470</v>
      </c>
      <c r="M1819" s="24" t="s">
        <v>77</v>
      </c>
    </row>
    <row r="1820" spans="12:13" x14ac:dyDescent="0.3">
      <c r="L1820" s="18" t="s">
        <v>471</v>
      </c>
      <c r="M1820" s="23" t="s">
        <v>77</v>
      </c>
    </row>
    <row r="1821" spans="12:13" x14ac:dyDescent="0.3">
      <c r="L1821" s="19" t="s">
        <v>1373</v>
      </c>
      <c r="M1821" s="24" t="s">
        <v>77</v>
      </c>
    </row>
    <row r="1822" spans="12:13" x14ac:dyDescent="0.3">
      <c r="L1822" s="18" t="s">
        <v>409</v>
      </c>
      <c r="M1822" s="23" t="s">
        <v>77</v>
      </c>
    </row>
    <row r="1823" spans="12:13" x14ac:dyDescent="0.3">
      <c r="L1823" s="19" t="s">
        <v>1374</v>
      </c>
      <c r="M1823" s="24" t="s">
        <v>77</v>
      </c>
    </row>
    <row r="1824" spans="12:13" x14ac:dyDescent="0.3">
      <c r="L1824" s="18" t="s">
        <v>1375</v>
      </c>
      <c r="M1824" s="23" t="s">
        <v>77</v>
      </c>
    </row>
    <row r="1825" spans="12:13" x14ac:dyDescent="0.3">
      <c r="L1825" s="19" t="s">
        <v>1376</v>
      </c>
      <c r="M1825" s="24" t="s">
        <v>77</v>
      </c>
    </row>
    <row r="1826" spans="12:13" x14ac:dyDescent="0.3">
      <c r="L1826" s="18" t="s">
        <v>361</v>
      </c>
      <c r="M1826" s="23" t="s">
        <v>77</v>
      </c>
    </row>
    <row r="1827" spans="12:13" x14ac:dyDescent="0.3">
      <c r="L1827" s="19" t="s">
        <v>1377</v>
      </c>
      <c r="M1827" s="24" t="s">
        <v>77</v>
      </c>
    </row>
    <row r="1828" spans="12:13" x14ac:dyDescent="0.3">
      <c r="L1828" s="18" t="s">
        <v>1378</v>
      </c>
      <c r="M1828" s="23" t="s">
        <v>57</v>
      </c>
    </row>
    <row r="1829" spans="12:13" x14ac:dyDescent="0.3">
      <c r="L1829" s="19" t="s">
        <v>1020</v>
      </c>
      <c r="M1829" s="24" t="s">
        <v>57</v>
      </c>
    </row>
    <row r="1830" spans="12:13" x14ac:dyDescent="0.3">
      <c r="L1830" s="18" t="s">
        <v>1379</v>
      </c>
      <c r="M1830" s="23" t="s">
        <v>57</v>
      </c>
    </row>
    <row r="1831" spans="12:13" x14ac:dyDescent="0.3">
      <c r="L1831" s="19" t="s">
        <v>1380</v>
      </c>
      <c r="M1831" s="24" t="s">
        <v>57</v>
      </c>
    </row>
    <row r="1832" spans="12:13" x14ac:dyDescent="0.3">
      <c r="L1832" s="18" t="s">
        <v>1381</v>
      </c>
      <c r="M1832" s="23" t="s">
        <v>57</v>
      </c>
    </row>
    <row r="1833" spans="12:13" x14ac:dyDescent="0.3">
      <c r="L1833" s="19" t="s">
        <v>1382</v>
      </c>
      <c r="M1833" s="24" t="s">
        <v>57</v>
      </c>
    </row>
    <row r="1834" spans="12:13" x14ac:dyDescent="0.3">
      <c r="L1834" s="18" t="s">
        <v>830</v>
      </c>
      <c r="M1834" s="23" t="s">
        <v>57</v>
      </c>
    </row>
    <row r="1835" spans="12:13" x14ac:dyDescent="0.3">
      <c r="L1835" s="19" t="s">
        <v>1383</v>
      </c>
      <c r="M1835" s="24" t="s">
        <v>57</v>
      </c>
    </row>
    <row r="1836" spans="12:13" x14ac:dyDescent="0.3">
      <c r="L1836" s="18" t="s">
        <v>1384</v>
      </c>
      <c r="M1836" s="23" t="s">
        <v>57</v>
      </c>
    </row>
    <row r="1837" spans="12:13" x14ac:dyDescent="0.3">
      <c r="L1837" s="19" t="s">
        <v>691</v>
      </c>
      <c r="M1837" s="24" t="s">
        <v>57</v>
      </c>
    </row>
    <row r="1838" spans="12:13" x14ac:dyDescent="0.3">
      <c r="L1838" s="18" t="s">
        <v>319</v>
      </c>
      <c r="M1838" s="23" t="s">
        <v>57</v>
      </c>
    </row>
    <row r="1839" spans="12:13" x14ac:dyDescent="0.3">
      <c r="L1839" s="19" t="s">
        <v>1385</v>
      </c>
      <c r="M1839" s="24" t="s">
        <v>57</v>
      </c>
    </row>
    <row r="1840" spans="12:13" x14ac:dyDescent="0.3">
      <c r="L1840" s="18" t="s">
        <v>743</v>
      </c>
      <c r="M1840" s="23" t="s">
        <v>57</v>
      </c>
    </row>
    <row r="1841" spans="12:13" x14ac:dyDescent="0.3">
      <c r="L1841" s="19" t="s">
        <v>1386</v>
      </c>
      <c r="M1841" s="24" t="s">
        <v>57</v>
      </c>
    </row>
    <row r="1842" spans="12:13" x14ac:dyDescent="0.3">
      <c r="L1842" s="18" t="s">
        <v>1387</v>
      </c>
      <c r="M1842" s="23" t="s">
        <v>57</v>
      </c>
    </row>
    <row r="1843" spans="12:13" x14ac:dyDescent="0.3">
      <c r="L1843" s="19" t="s">
        <v>1041</v>
      </c>
      <c r="M1843" s="24" t="s">
        <v>57</v>
      </c>
    </row>
    <row r="1844" spans="12:13" x14ac:dyDescent="0.3">
      <c r="L1844" s="18" t="s">
        <v>231</v>
      </c>
      <c r="M1844" s="23" t="s">
        <v>57</v>
      </c>
    </row>
    <row r="1845" spans="12:13" x14ac:dyDescent="0.3">
      <c r="L1845" s="19" t="s">
        <v>328</v>
      </c>
      <c r="M1845" s="24" t="s">
        <v>57</v>
      </c>
    </row>
    <row r="1846" spans="12:13" x14ac:dyDescent="0.3">
      <c r="L1846" s="18" t="s">
        <v>1062</v>
      </c>
      <c r="M1846" s="23" t="s">
        <v>57</v>
      </c>
    </row>
    <row r="1847" spans="12:13" x14ac:dyDescent="0.3">
      <c r="L1847" s="19" t="s">
        <v>233</v>
      </c>
      <c r="M1847" s="24" t="s">
        <v>57</v>
      </c>
    </row>
    <row r="1848" spans="12:13" x14ac:dyDescent="0.3">
      <c r="L1848" s="18" t="s">
        <v>507</v>
      </c>
      <c r="M1848" s="23" t="s">
        <v>57</v>
      </c>
    </row>
    <row r="1849" spans="12:13" x14ac:dyDescent="0.3">
      <c r="L1849" s="19" t="s">
        <v>1388</v>
      </c>
      <c r="M1849" s="24" t="s">
        <v>57</v>
      </c>
    </row>
    <row r="1850" spans="12:13" x14ac:dyDescent="0.3">
      <c r="L1850" s="18" t="s">
        <v>238</v>
      </c>
      <c r="M1850" s="23" t="s">
        <v>57</v>
      </c>
    </row>
    <row r="1851" spans="12:13" x14ac:dyDescent="0.3">
      <c r="L1851" s="19" t="s">
        <v>381</v>
      </c>
      <c r="M1851" s="24" t="s">
        <v>57</v>
      </c>
    </row>
    <row r="1852" spans="12:13" x14ac:dyDescent="0.3">
      <c r="L1852" s="18" t="s">
        <v>673</v>
      </c>
      <c r="M1852" s="23" t="s">
        <v>57</v>
      </c>
    </row>
    <row r="1853" spans="12:13" x14ac:dyDescent="0.3">
      <c r="L1853" s="19" t="s">
        <v>711</v>
      </c>
      <c r="M1853" s="24" t="s">
        <v>57</v>
      </c>
    </row>
    <row r="1854" spans="12:13" x14ac:dyDescent="0.3">
      <c r="L1854" s="18" t="s">
        <v>246</v>
      </c>
      <c r="M1854" s="23" t="s">
        <v>57</v>
      </c>
    </row>
    <row r="1855" spans="12:13" x14ac:dyDescent="0.3">
      <c r="L1855" s="19" t="s">
        <v>251</v>
      </c>
      <c r="M1855" s="24" t="s">
        <v>57</v>
      </c>
    </row>
    <row r="1856" spans="12:13" x14ac:dyDescent="0.3">
      <c r="L1856" s="18" t="s">
        <v>252</v>
      </c>
      <c r="M1856" s="23" t="s">
        <v>57</v>
      </c>
    </row>
    <row r="1857" spans="12:13" x14ac:dyDescent="0.3">
      <c r="L1857" s="19" t="s">
        <v>520</v>
      </c>
      <c r="M1857" s="24" t="s">
        <v>57</v>
      </c>
    </row>
    <row r="1858" spans="12:13" x14ac:dyDescent="0.3">
      <c r="L1858" s="18" t="s">
        <v>1389</v>
      </c>
      <c r="M1858" s="23" t="s">
        <v>57</v>
      </c>
    </row>
    <row r="1859" spans="12:13" x14ac:dyDescent="0.3">
      <c r="L1859" s="19" t="s">
        <v>1390</v>
      </c>
      <c r="M1859" s="24" t="s">
        <v>57</v>
      </c>
    </row>
    <row r="1860" spans="12:13" x14ac:dyDescent="0.3">
      <c r="L1860" s="18" t="s">
        <v>676</v>
      </c>
      <c r="M1860" s="23" t="s">
        <v>57</v>
      </c>
    </row>
    <row r="1861" spans="12:13" x14ac:dyDescent="0.3">
      <c r="L1861" s="19" t="s">
        <v>1391</v>
      </c>
      <c r="M1861" s="24" t="s">
        <v>57</v>
      </c>
    </row>
    <row r="1862" spans="12:13" x14ac:dyDescent="0.3">
      <c r="L1862" s="18" t="s">
        <v>1392</v>
      </c>
      <c r="M1862" s="23" t="s">
        <v>57</v>
      </c>
    </row>
    <row r="1863" spans="12:13" x14ac:dyDescent="0.3">
      <c r="L1863" s="19" t="s">
        <v>394</v>
      </c>
      <c r="M1863" s="24" t="s">
        <v>57</v>
      </c>
    </row>
    <row r="1864" spans="12:13" x14ac:dyDescent="0.3">
      <c r="L1864" s="18" t="s">
        <v>1393</v>
      </c>
      <c r="M1864" s="23" t="s">
        <v>57</v>
      </c>
    </row>
    <row r="1865" spans="12:13" x14ac:dyDescent="0.3">
      <c r="L1865" s="19" t="s">
        <v>1394</v>
      </c>
      <c r="M1865" s="24" t="s">
        <v>57</v>
      </c>
    </row>
    <row r="1866" spans="12:13" x14ac:dyDescent="0.3">
      <c r="L1866" s="18" t="s">
        <v>1099</v>
      </c>
      <c r="M1866" s="23" t="s">
        <v>57</v>
      </c>
    </row>
    <row r="1867" spans="12:13" x14ac:dyDescent="0.3">
      <c r="L1867" s="19" t="s">
        <v>527</v>
      </c>
      <c r="M1867" s="24" t="s">
        <v>57</v>
      </c>
    </row>
    <row r="1868" spans="12:13" x14ac:dyDescent="0.3">
      <c r="L1868" s="18" t="s">
        <v>1395</v>
      </c>
      <c r="M1868" s="23" t="s">
        <v>57</v>
      </c>
    </row>
    <row r="1869" spans="12:13" x14ac:dyDescent="0.3">
      <c r="L1869" s="19" t="s">
        <v>1396</v>
      </c>
      <c r="M1869" s="24" t="s">
        <v>57</v>
      </c>
    </row>
    <row r="1870" spans="12:13" x14ac:dyDescent="0.3">
      <c r="L1870" s="18" t="s">
        <v>616</v>
      </c>
      <c r="M1870" s="23" t="s">
        <v>57</v>
      </c>
    </row>
    <row r="1871" spans="12:13" x14ac:dyDescent="0.3">
      <c r="L1871" s="19" t="s">
        <v>1397</v>
      </c>
      <c r="M1871" s="24" t="s">
        <v>57</v>
      </c>
    </row>
    <row r="1872" spans="12:13" x14ac:dyDescent="0.3">
      <c r="L1872" s="18" t="s">
        <v>1398</v>
      </c>
      <c r="M1872" s="23" t="s">
        <v>57</v>
      </c>
    </row>
    <row r="1873" spans="12:13" x14ac:dyDescent="0.3">
      <c r="L1873" s="19" t="s">
        <v>1399</v>
      </c>
      <c r="M1873" s="24" t="s">
        <v>57</v>
      </c>
    </row>
    <row r="1874" spans="12:13" x14ac:dyDescent="0.3">
      <c r="L1874" s="18" t="s">
        <v>1400</v>
      </c>
      <c r="M1874" s="23" t="s">
        <v>57</v>
      </c>
    </row>
    <row r="1875" spans="12:13" x14ac:dyDescent="0.3">
      <c r="L1875" s="19" t="s">
        <v>1401</v>
      </c>
      <c r="M1875" s="24" t="s">
        <v>57</v>
      </c>
    </row>
    <row r="1876" spans="12:13" x14ac:dyDescent="0.3">
      <c r="L1876" s="18" t="s">
        <v>727</v>
      </c>
      <c r="M1876" s="23" t="s">
        <v>57</v>
      </c>
    </row>
    <row r="1877" spans="12:13" x14ac:dyDescent="0.3">
      <c r="L1877" s="19" t="s">
        <v>1402</v>
      </c>
      <c r="M1877" s="24" t="s">
        <v>57</v>
      </c>
    </row>
    <row r="1878" spans="12:13" x14ac:dyDescent="0.3">
      <c r="L1878" s="18" t="s">
        <v>768</v>
      </c>
      <c r="M1878" s="23" t="s">
        <v>57</v>
      </c>
    </row>
    <row r="1879" spans="12:13" x14ac:dyDescent="0.3">
      <c r="L1879" s="19" t="s">
        <v>1046</v>
      </c>
      <c r="M1879" s="24" t="s">
        <v>57</v>
      </c>
    </row>
    <row r="1880" spans="12:13" x14ac:dyDescent="0.3">
      <c r="L1880" s="18" t="s">
        <v>769</v>
      </c>
      <c r="M1880" s="23" t="s">
        <v>57</v>
      </c>
    </row>
    <row r="1881" spans="12:13" x14ac:dyDescent="0.3">
      <c r="L1881" s="19" t="s">
        <v>1403</v>
      </c>
      <c r="M1881" s="24" t="s">
        <v>57</v>
      </c>
    </row>
    <row r="1882" spans="12:13" x14ac:dyDescent="0.3">
      <c r="L1882" s="18" t="s">
        <v>1404</v>
      </c>
      <c r="M1882" s="23" t="s">
        <v>57</v>
      </c>
    </row>
    <row r="1883" spans="12:13" x14ac:dyDescent="0.3">
      <c r="L1883" s="19" t="s">
        <v>1405</v>
      </c>
      <c r="M1883" s="24" t="s">
        <v>57</v>
      </c>
    </row>
    <row r="1884" spans="12:13" x14ac:dyDescent="0.3">
      <c r="L1884" s="18" t="s">
        <v>638</v>
      </c>
      <c r="M1884" s="23" t="s">
        <v>57</v>
      </c>
    </row>
    <row r="1885" spans="12:13" x14ac:dyDescent="0.3">
      <c r="L1885" s="19" t="s">
        <v>266</v>
      </c>
      <c r="M1885" s="24" t="s">
        <v>57</v>
      </c>
    </row>
    <row r="1886" spans="12:13" x14ac:dyDescent="0.3">
      <c r="L1886" s="18" t="s">
        <v>639</v>
      </c>
      <c r="M1886" s="23" t="s">
        <v>57</v>
      </c>
    </row>
    <row r="1887" spans="12:13" x14ac:dyDescent="0.3">
      <c r="L1887" s="19" t="s">
        <v>1406</v>
      </c>
      <c r="M1887" s="24" t="s">
        <v>57</v>
      </c>
    </row>
    <row r="1888" spans="12:13" x14ac:dyDescent="0.3">
      <c r="L1888" s="18" t="s">
        <v>1407</v>
      </c>
      <c r="M1888" s="23" t="s">
        <v>57</v>
      </c>
    </row>
    <row r="1889" spans="12:13" x14ac:dyDescent="0.3">
      <c r="L1889" s="19" t="s">
        <v>1408</v>
      </c>
      <c r="M1889" s="24" t="s">
        <v>57</v>
      </c>
    </row>
    <row r="1890" spans="12:13" x14ac:dyDescent="0.3">
      <c r="L1890" s="18" t="s">
        <v>1409</v>
      </c>
      <c r="M1890" s="23" t="s">
        <v>76</v>
      </c>
    </row>
    <row r="1891" spans="12:13" x14ac:dyDescent="0.3">
      <c r="L1891" s="19" t="s">
        <v>684</v>
      </c>
      <c r="M1891" s="24" t="s">
        <v>76</v>
      </c>
    </row>
    <row r="1892" spans="12:13" x14ac:dyDescent="0.3">
      <c r="L1892" s="18" t="s">
        <v>1410</v>
      </c>
      <c r="M1892" s="23" t="s">
        <v>76</v>
      </c>
    </row>
    <row r="1893" spans="12:13" x14ac:dyDescent="0.3">
      <c r="L1893" s="19" t="s">
        <v>1411</v>
      </c>
      <c r="M1893" s="24" t="s">
        <v>76</v>
      </c>
    </row>
    <row r="1894" spans="12:13" x14ac:dyDescent="0.3">
      <c r="L1894" s="18" t="s">
        <v>1412</v>
      </c>
      <c r="M1894" s="23" t="s">
        <v>76</v>
      </c>
    </row>
    <row r="1895" spans="12:13" x14ac:dyDescent="0.3">
      <c r="L1895" s="19" t="s">
        <v>1413</v>
      </c>
      <c r="M1895" s="24" t="s">
        <v>76</v>
      </c>
    </row>
    <row r="1896" spans="12:13" x14ac:dyDescent="0.3">
      <c r="L1896" s="18" t="s">
        <v>1414</v>
      </c>
      <c r="M1896" s="23" t="s">
        <v>76</v>
      </c>
    </row>
    <row r="1897" spans="12:13" x14ac:dyDescent="0.3">
      <c r="L1897" s="19" t="s">
        <v>1415</v>
      </c>
      <c r="M1897" s="24" t="s">
        <v>76</v>
      </c>
    </row>
    <row r="1898" spans="12:13" x14ac:dyDescent="0.3">
      <c r="L1898" s="18" t="s">
        <v>1416</v>
      </c>
      <c r="M1898" s="23" t="s">
        <v>76</v>
      </c>
    </row>
    <row r="1899" spans="12:13" x14ac:dyDescent="0.3">
      <c r="L1899" s="19" t="s">
        <v>1417</v>
      </c>
      <c r="M1899" s="24" t="s">
        <v>76</v>
      </c>
    </row>
    <row r="1900" spans="12:13" x14ac:dyDescent="0.3">
      <c r="L1900" s="18" t="s">
        <v>1418</v>
      </c>
      <c r="M1900" s="23" t="s">
        <v>76</v>
      </c>
    </row>
    <row r="1901" spans="12:13" x14ac:dyDescent="0.3">
      <c r="L1901" s="19" t="s">
        <v>551</v>
      </c>
      <c r="M1901" s="24" t="s">
        <v>76</v>
      </c>
    </row>
    <row r="1902" spans="12:13" x14ac:dyDescent="0.3">
      <c r="L1902" s="18" t="s">
        <v>1419</v>
      </c>
      <c r="M1902" s="23" t="s">
        <v>76</v>
      </c>
    </row>
    <row r="1903" spans="12:13" x14ac:dyDescent="0.3">
      <c r="L1903" s="19" t="s">
        <v>901</v>
      </c>
      <c r="M1903" s="24" t="s">
        <v>76</v>
      </c>
    </row>
    <row r="1904" spans="12:13" x14ac:dyDescent="0.3">
      <c r="L1904" s="18" t="s">
        <v>553</v>
      </c>
      <c r="M1904" s="23" t="s">
        <v>76</v>
      </c>
    </row>
    <row r="1905" spans="12:13" x14ac:dyDescent="0.3">
      <c r="L1905" s="19" t="s">
        <v>1420</v>
      </c>
      <c r="M1905" s="24" t="s">
        <v>76</v>
      </c>
    </row>
    <row r="1906" spans="12:13" x14ac:dyDescent="0.3">
      <c r="L1906" s="18" t="s">
        <v>1421</v>
      </c>
      <c r="M1906" s="23" t="s">
        <v>76</v>
      </c>
    </row>
    <row r="1907" spans="12:13" x14ac:dyDescent="0.3">
      <c r="L1907" s="19" t="s">
        <v>1422</v>
      </c>
      <c r="M1907" s="24" t="s">
        <v>76</v>
      </c>
    </row>
    <row r="1908" spans="12:13" x14ac:dyDescent="0.3">
      <c r="L1908" s="18" t="s">
        <v>557</v>
      </c>
      <c r="M1908" s="23" t="s">
        <v>76</v>
      </c>
    </row>
    <row r="1909" spans="12:13" x14ac:dyDescent="0.3">
      <c r="L1909" s="19" t="s">
        <v>211</v>
      </c>
      <c r="M1909" s="24" t="s">
        <v>76</v>
      </c>
    </row>
    <row r="1910" spans="12:13" x14ac:dyDescent="0.3">
      <c r="L1910" s="18" t="s">
        <v>1423</v>
      </c>
      <c r="M1910" s="23" t="s">
        <v>76</v>
      </c>
    </row>
    <row r="1911" spans="12:13" x14ac:dyDescent="0.3">
      <c r="L1911" s="19" t="s">
        <v>215</v>
      </c>
      <c r="M1911" s="24" t="s">
        <v>76</v>
      </c>
    </row>
    <row r="1912" spans="12:13" x14ac:dyDescent="0.3">
      <c r="L1912" s="18" t="s">
        <v>318</v>
      </c>
      <c r="M1912" s="23" t="s">
        <v>76</v>
      </c>
    </row>
    <row r="1913" spans="12:13" x14ac:dyDescent="0.3">
      <c r="L1913" s="19" t="s">
        <v>1424</v>
      </c>
      <c r="M1913" s="24" t="s">
        <v>76</v>
      </c>
    </row>
    <row r="1914" spans="12:13" x14ac:dyDescent="0.3">
      <c r="L1914" s="18" t="s">
        <v>1425</v>
      </c>
      <c r="M1914" s="23" t="s">
        <v>76</v>
      </c>
    </row>
    <row r="1915" spans="12:13" x14ac:dyDescent="0.3">
      <c r="L1915" s="19" t="s">
        <v>693</v>
      </c>
      <c r="M1915" s="24" t="s">
        <v>76</v>
      </c>
    </row>
    <row r="1916" spans="12:13" x14ac:dyDescent="0.3">
      <c r="L1916" s="18" t="s">
        <v>1426</v>
      </c>
      <c r="M1916" s="23" t="s">
        <v>76</v>
      </c>
    </row>
    <row r="1917" spans="12:13" x14ac:dyDescent="0.3">
      <c r="L1917" s="19" t="s">
        <v>1427</v>
      </c>
      <c r="M1917" s="24" t="s">
        <v>76</v>
      </c>
    </row>
    <row r="1918" spans="12:13" x14ac:dyDescent="0.3">
      <c r="L1918" s="18" t="s">
        <v>1428</v>
      </c>
      <c r="M1918" s="23" t="s">
        <v>76</v>
      </c>
    </row>
    <row r="1919" spans="12:13" x14ac:dyDescent="0.3">
      <c r="L1919" s="19" t="s">
        <v>1429</v>
      </c>
      <c r="M1919" s="24" t="s">
        <v>76</v>
      </c>
    </row>
    <row r="1920" spans="12:13" x14ac:dyDescent="0.3">
      <c r="L1920" s="18" t="s">
        <v>1430</v>
      </c>
      <c r="M1920" s="23" t="s">
        <v>76</v>
      </c>
    </row>
    <row r="1921" spans="12:13" x14ac:dyDescent="0.3">
      <c r="L1921" s="19" t="s">
        <v>1431</v>
      </c>
      <c r="M1921" s="24" t="s">
        <v>76</v>
      </c>
    </row>
    <row r="1922" spans="12:13" x14ac:dyDescent="0.3">
      <c r="L1922" s="18" t="s">
        <v>1432</v>
      </c>
      <c r="M1922" s="23" t="s">
        <v>76</v>
      </c>
    </row>
    <row r="1923" spans="12:13" x14ac:dyDescent="0.3">
      <c r="L1923" s="19" t="s">
        <v>580</v>
      </c>
      <c r="M1923" s="24" t="s">
        <v>76</v>
      </c>
    </row>
    <row r="1924" spans="12:13" x14ac:dyDescent="0.3">
      <c r="L1924" s="18" t="s">
        <v>231</v>
      </c>
      <c r="M1924" s="23" t="s">
        <v>76</v>
      </c>
    </row>
    <row r="1925" spans="12:13" x14ac:dyDescent="0.3">
      <c r="L1925" s="19" t="s">
        <v>1433</v>
      </c>
      <c r="M1925" s="24" t="s">
        <v>76</v>
      </c>
    </row>
    <row r="1926" spans="12:13" x14ac:dyDescent="0.3">
      <c r="L1926" s="18" t="s">
        <v>1434</v>
      </c>
      <c r="M1926" s="23" t="s">
        <v>76</v>
      </c>
    </row>
    <row r="1927" spans="12:13" x14ac:dyDescent="0.3">
      <c r="L1927" s="19" t="s">
        <v>298</v>
      </c>
      <c r="M1927" s="24" t="s">
        <v>76</v>
      </c>
    </row>
    <row r="1928" spans="12:13" x14ac:dyDescent="0.3">
      <c r="L1928" s="18" t="s">
        <v>1435</v>
      </c>
      <c r="M1928" s="23" t="s">
        <v>76</v>
      </c>
    </row>
    <row r="1929" spans="12:13" x14ac:dyDescent="0.3">
      <c r="L1929" s="19" t="s">
        <v>233</v>
      </c>
      <c r="M1929" s="24" t="s">
        <v>76</v>
      </c>
    </row>
    <row r="1930" spans="12:13" x14ac:dyDescent="0.3">
      <c r="L1930" s="18" t="s">
        <v>1436</v>
      </c>
      <c r="M1930" s="23" t="s">
        <v>76</v>
      </c>
    </row>
    <row r="1931" spans="12:13" x14ac:dyDescent="0.3">
      <c r="L1931" s="19" t="s">
        <v>1437</v>
      </c>
      <c r="M1931" s="24" t="s">
        <v>76</v>
      </c>
    </row>
    <row r="1932" spans="12:13" x14ac:dyDescent="0.3">
      <c r="L1932" s="18" t="s">
        <v>1438</v>
      </c>
      <c r="M1932" s="23" t="s">
        <v>76</v>
      </c>
    </row>
    <row r="1933" spans="12:13" x14ac:dyDescent="0.3">
      <c r="L1933" s="19" t="s">
        <v>1439</v>
      </c>
      <c r="M1933" s="24" t="s">
        <v>76</v>
      </c>
    </row>
    <row r="1934" spans="12:13" x14ac:dyDescent="0.3">
      <c r="L1934" s="18" t="s">
        <v>702</v>
      </c>
      <c r="M1934" s="23" t="s">
        <v>76</v>
      </c>
    </row>
    <row r="1935" spans="12:13" x14ac:dyDescent="0.3">
      <c r="L1935" s="19" t="s">
        <v>1440</v>
      </c>
      <c r="M1935" s="24" t="s">
        <v>76</v>
      </c>
    </row>
    <row r="1936" spans="12:13" x14ac:dyDescent="0.3">
      <c r="L1936" s="18" t="s">
        <v>1441</v>
      </c>
      <c r="M1936" s="23" t="s">
        <v>76</v>
      </c>
    </row>
    <row r="1937" spans="12:13" x14ac:dyDescent="0.3">
      <c r="L1937" s="19" t="s">
        <v>1442</v>
      </c>
      <c r="M1937" s="24" t="s">
        <v>76</v>
      </c>
    </row>
    <row r="1938" spans="12:13" x14ac:dyDescent="0.3">
      <c r="L1938" s="18" t="s">
        <v>1443</v>
      </c>
      <c r="M1938" s="23" t="s">
        <v>76</v>
      </c>
    </row>
    <row r="1939" spans="12:13" x14ac:dyDescent="0.3">
      <c r="L1939" s="19" t="s">
        <v>237</v>
      </c>
      <c r="M1939" s="24" t="s">
        <v>76</v>
      </c>
    </row>
    <row r="1940" spans="12:13" x14ac:dyDescent="0.3">
      <c r="L1940" s="18" t="s">
        <v>1444</v>
      </c>
      <c r="M1940" s="23" t="s">
        <v>76</v>
      </c>
    </row>
    <row r="1941" spans="12:13" x14ac:dyDescent="0.3">
      <c r="L1941" s="19" t="s">
        <v>598</v>
      </c>
      <c r="M1941" s="24" t="s">
        <v>76</v>
      </c>
    </row>
    <row r="1942" spans="12:13" x14ac:dyDescent="0.3">
      <c r="L1942" s="18" t="s">
        <v>242</v>
      </c>
      <c r="M1942" s="23" t="s">
        <v>76</v>
      </c>
    </row>
    <row r="1943" spans="12:13" x14ac:dyDescent="0.3">
      <c r="L1943" s="19" t="s">
        <v>1445</v>
      </c>
      <c r="M1943" s="24" t="s">
        <v>76</v>
      </c>
    </row>
    <row r="1944" spans="12:13" x14ac:dyDescent="0.3">
      <c r="L1944" s="18" t="s">
        <v>338</v>
      </c>
      <c r="M1944" s="23" t="s">
        <v>76</v>
      </c>
    </row>
    <row r="1945" spans="12:13" x14ac:dyDescent="0.3">
      <c r="L1945" s="19" t="s">
        <v>1446</v>
      </c>
      <c r="M1945" s="24" t="s">
        <v>76</v>
      </c>
    </row>
    <row r="1946" spans="12:13" x14ac:dyDescent="0.3">
      <c r="L1946" s="18" t="s">
        <v>245</v>
      </c>
      <c r="M1946" s="23" t="s">
        <v>76</v>
      </c>
    </row>
    <row r="1947" spans="12:13" x14ac:dyDescent="0.3">
      <c r="L1947" s="19" t="s">
        <v>246</v>
      </c>
      <c r="M1947" s="24" t="s">
        <v>76</v>
      </c>
    </row>
    <row r="1948" spans="12:13" x14ac:dyDescent="0.3">
      <c r="L1948" s="18" t="s">
        <v>519</v>
      </c>
      <c r="M1948" s="23" t="s">
        <v>76</v>
      </c>
    </row>
    <row r="1949" spans="12:13" x14ac:dyDescent="0.3">
      <c r="L1949" s="19" t="s">
        <v>1447</v>
      </c>
      <c r="M1949" s="24" t="s">
        <v>76</v>
      </c>
    </row>
    <row r="1950" spans="12:13" x14ac:dyDescent="0.3">
      <c r="L1950" s="18" t="s">
        <v>606</v>
      </c>
      <c r="M1950" s="23" t="s">
        <v>76</v>
      </c>
    </row>
    <row r="1951" spans="12:13" x14ac:dyDescent="0.3">
      <c r="L1951" s="19" t="s">
        <v>252</v>
      </c>
      <c r="M1951" s="24" t="s">
        <v>76</v>
      </c>
    </row>
    <row r="1952" spans="12:13" x14ac:dyDescent="0.3">
      <c r="L1952" s="18" t="s">
        <v>1448</v>
      </c>
      <c r="M1952" s="23" t="s">
        <v>76</v>
      </c>
    </row>
    <row r="1953" spans="12:13" x14ac:dyDescent="0.3">
      <c r="L1953" s="19" t="s">
        <v>1449</v>
      </c>
      <c r="M1953" s="24" t="s">
        <v>76</v>
      </c>
    </row>
    <row r="1954" spans="12:13" x14ac:dyDescent="0.3">
      <c r="L1954" s="18" t="s">
        <v>1450</v>
      </c>
      <c r="M1954" s="23" t="s">
        <v>76</v>
      </c>
    </row>
    <row r="1955" spans="12:13" x14ac:dyDescent="0.3">
      <c r="L1955" s="19" t="s">
        <v>1451</v>
      </c>
      <c r="M1955" s="24" t="s">
        <v>76</v>
      </c>
    </row>
    <row r="1956" spans="12:13" x14ac:dyDescent="0.3">
      <c r="L1956" s="18" t="s">
        <v>1452</v>
      </c>
      <c r="M1956" s="23" t="s">
        <v>76</v>
      </c>
    </row>
    <row r="1957" spans="12:13" x14ac:dyDescent="0.3">
      <c r="L1957" s="19" t="s">
        <v>394</v>
      </c>
      <c r="M1957" s="24" t="s">
        <v>76</v>
      </c>
    </row>
    <row r="1958" spans="12:13" x14ac:dyDescent="0.3">
      <c r="L1958" s="18" t="s">
        <v>1453</v>
      </c>
      <c r="M1958" s="23" t="s">
        <v>76</v>
      </c>
    </row>
    <row r="1959" spans="12:13" x14ac:dyDescent="0.3">
      <c r="L1959" s="19" t="s">
        <v>1454</v>
      </c>
      <c r="M1959" s="24" t="s">
        <v>76</v>
      </c>
    </row>
    <row r="1960" spans="12:13" x14ac:dyDescent="0.3">
      <c r="L1960" s="18" t="s">
        <v>1455</v>
      </c>
      <c r="M1960" s="23" t="s">
        <v>76</v>
      </c>
    </row>
    <row r="1961" spans="12:13" x14ac:dyDescent="0.3">
      <c r="L1961" s="19" t="s">
        <v>1456</v>
      </c>
      <c r="M1961" s="24" t="s">
        <v>76</v>
      </c>
    </row>
    <row r="1962" spans="12:13" x14ac:dyDescent="0.3">
      <c r="L1962" s="18" t="s">
        <v>1457</v>
      </c>
      <c r="M1962" s="23" t="s">
        <v>76</v>
      </c>
    </row>
    <row r="1963" spans="12:13" x14ac:dyDescent="0.3">
      <c r="L1963" s="19" t="s">
        <v>1458</v>
      </c>
      <c r="M1963" s="24" t="s">
        <v>76</v>
      </c>
    </row>
    <row r="1964" spans="12:13" x14ac:dyDescent="0.3">
      <c r="L1964" s="18" t="s">
        <v>349</v>
      </c>
      <c r="M1964" s="23" t="s">
        <v>76</v>
      </c>
    </row>
    <row r="1965" spans="12:13" x14ac:dyDescent="0.3">
      <c r="L1965" s="19" t="s">
        <v>257</v>
      </c>
      <c r="M1965" s="24" t="s">
        <v>76</v>
      </c>
    </row>
    <row r="1966" spans="12:13" x14ac:dyDescent="0.3">
      <c r="L1966" s="18" t="s">
        <v>616</v>
      </c>
      <c r="M1966" s="23" t="s">
        <v>76</v>
      </c>
    </row>
    <row r="1967" spans="12:13" x14ac:dyDescent="0.3">
      <c r="L1967" s="19" t="s">
        <v>1459</v>
      </c>
      <c r="M1967" s="24" t="s">
        <v>76</v>
      </c>
    </row>
    <row r="1968" spans="12:13" x14ac:dyDescent="0.3">
      <c r="L1968" s="18" t="s">
        <v>1341</v>
      </c>
      <c r="M1968" s="23" t="s">
        <v>76</v>
      </c>
    </row>
    <row r="1969" spans="12:13" x14ac:dyDescent="0.3">
      <c r="L1969" s="19" t="s">
        <v>940</v>
      </c>
      <c r="M1969" s="24" t="s">
        <v>76</v>
      </c>
    </row>
    <row r="1970" spans="12:13" x14ac:dyDescent="0.3">
      <c r="L1970" s="18" t="s">
        <v>1460</v>
      </c>
      <c r="M1970" s="23" t="s">
        <v>76</v>
      </c>
    </row>
    <row r="1971" spans="12:13" x14ac:dyDescent="0.3">
      <c r="L1971" s="19" t="s">
        <v>1461</v>
      </c>
      <c r="M1971" s="24" t="s">
        <v>76</v>
      </c>
    </row>
    <row r="1972" spans="12:13" x14ac:dyDescent="0.3">
      <c r="L1972" s="18" t="s">
        <v>1241</v>
      </c>
      <c r="M1972" s="23" t="s">
        <v>76</v>
      </c>
    </row>
    <row r="1973" spans="12:13" x14ac:dyDescent="0.3">
      <c r="L1973" s="19" t="s">
        <v>1462</v>
      </c>
      <c r="M1973" s="24" t="s">
        <v>76</v>
      </c>
    </row>
    <row r="1974" spans="12:13" x14ac:dyDescent="0.3">
      <c r="L1974" s="18" t="s">
        <v>1463</v>
      </c>
      <c r="M1974" s="23" t="s">
        <v>76</v>
      </c>
    </row>
    <row r="1975" spans="12:13" x14ac:dyDescent="0.3">
      <c r="L1975" s="19" t="s">
        <v>1464</v>
      </c>
      <c r="M1975" s="24" t="s">
        <v>76</v>
      </c>
    </row>
    <row r="1976" spans="12:13" x14ac:dyDescent="0.3">
      <c r="L1976" s="18" t="s">
        <v>1465</v>
      </c>
      <c r="M1976" s="23" t="s">
        <v>76</v>
      </c>
    </row>
    <row r="1977" spans="12:13" x14ac:dyDescent="0.3">
      <c r="L1977" s="19" t="s">
        <v>1466</v>
      </c>
      <c r="M1977" s="24" t="s">
        <v>76</v>
      </c>
    </row>
    <row r="1978" spans="12:13" x14ac:dyDescent="0.3">
      <c r="L1978" s="18" t="s">
        <v>1467</v>
      </c>
      <c r="M1978" s="23" t="s">
        <v>76</v>
      </c>
    </row>
    <row r="1979" spans="12:13" x14ac:dyDescent="0.3">
      <c r="L1979" s="19" t="s">
        <v>361</v>
      </c>
      <c r="M1979" s="24" t="s">
        <v>76</v>
      </c>
    </row>
    <row r="1980" spans="12:13" x14ac:dyDescent="0.3">
      <c r="L1980" s="18" t="s">
        <v>1468</v>
      </c>
      <c r="M1980" s="23" t="s">
        <v>76</v>
      </c>
    </row>
    <row r="1981" spans="12:13" x14ac:dyDescent="0.3">
      <c r="L1981" s="19" t="s">
        <v>1469</v>
      </c>
      <c r="M1981" s="24" t="s">
        <v>76</v>
      </c>
    </row>
    <row r="1982" spans="12:13" x14ac:dyDescent="0.3">
      <c r="L1982" s="18" t="s">
        <v>638</v>
      </c>
      <c r="M1982" s="23" t="s">
        <v>76</v>
      </c>
    </row>
    <row r="1983" spans="12:13" x14ac:dyDescent="0.3">
      <c r="L1983" s="19" t="s">
        <v>266</v>
      </c>
      <c r="M1983" s="24" t="s">
        <v>76</v>
      </c>
    </row>
    <row r="1984" spans="12:13" x14ac:dyDescent="0.3">
      <c r="L1984" s="18" t="s">
        <v>1470</v>
      </c>
      <c r="M1984" s="23" t="s">
        <v>76</v>
      </c>
    </row>
    <row r="1985" spans="12:13" x14ac:dyDescent="0.3">
      <c r="L1985" s="19" t="s">
        <v>639</v>
      </c>
      <c r="M1985" s="24" t="s">
        <v>76</v>
      </c>
    </row>
    <row r="1986" spans="12:13" x14ac:dyDescent="0.3">
      <c r="L1986" s="18" t="s">
        <v>643</v>
      </c>
      <c r="M1986" s="23" t="s">
        <v>76</v>
      </c>
    </row>
    <row r="1987" spans="12:13" x14ac:dyDescent="0.3">
      <c r="L1987" s="19" t="s">
        <v>888</v>
      </c>
      <c r="M1987" s="24" t="s">
        <v>76</v>
      </c>
    </row>
    <row r="1988" spans="12:13" x14ac:dyDescent="0.3">
      <c r="L1988" s="18" t="s">
        <v>1471</v>
      </c>
      <c r="M1988" s="23" t="s">
        <v>76</v>
      </c>
    </row>
    <row r="1989" spans="12:13" x14ac:dyDescent="0.3">
      <c r="L1989" s="19" t="s">
        <v>1472</v>
      </c>
      <c r="M1989" s="24" t="s">
        <v>76</v>
      </c>
    </row>
    <row r="1990" spans="12:13" x14ac:dyDescent="0.3">
      <c r="L1990" s="18" t="s">
        <v>422</v>
      </c>
      <c r="M1990" s="23" t="s">
        <v>75</v>
      </c>
    </row>
    <row r="1991" spans="12:13" x14ac:dyDescent="0.3">
      <c r="L1991" s="19" t="s">
        <v>1473</v>
      </c>
      <c r="M1991" s="24" t="s">
        <v>75</v>
      </c>
    </row>
    <row r="1992" spans="12:13" x14ac:dyDescent="0.3">
      <c r="L1992" s="18" t="s">
        <v>1474</v>
      </c>
      <c r="M1992" s="23" t="s">
        <v>75</v>
      </c>
    </row>
    <row r="1993" spans="12:13" x14ac:dyDescent="0.3">
      <c r="L1993" s="19" t="s">
        <v>1475</v>
      </c>
      <c r="M1993" s="24" t="s">
        <v>75</v>
      </c>
    </row>
    <row r="1994" spans="12:13" x14ac:dyDescent="0.3">
      <c r="L1994" s="18" t="s">
        <v>1476</v>
      </c>
      <c r="M1994" s="23" t="s">
        <v>75</v>
      </c>
    </row>
    <row r="1995" spans="12:13" x14ac:dyDescent="0.3">
      <c r="L1995" s="19" t="s">
        <v>1477</v>
      </c>
      <c r="M1995" s="24" t="s">
        <v>75</v>
      </c>
    </row>
    <row r="1996" spans="12:13" x14ac:dyDescent="0.3">
      <c r="L1996" s="18" t="s">
        <v>551</v>
      </c>
      <c r="M1996" s="23" t="s">
        <v>75</v>
      </c>
    </row>
    <row r="1997" spans="12:13" x14ac:dyDescent="0.3">
      <c r="L1997" s="19" t="s">
        <v>1478</v>
      </c>
      <c r="M1997" s="24" t="s">
        <v>75</v>
      </c>
    </row>
    <row r="1998" spans="12:13" x14ac:dyDescent="0.3">
      <c r="L1998" s="18" t="s">
        <v>688</v>
      </c>
      <c r="M1998" s="23" t="s">
        <v>75</v>
      </c>
    </row>
    <row r="1999" spans="12:13" x14ac:dyDescent="0.3">
      <c r="L1999" s="19" t="s">
        <v>1479</v>
      </c>
      <c r="M1999" s="24" t="s">
        <v>75</v>
      </c>
    </row>
    <row r="2000" spans="12:13" x14ac:dyDescent="0.3">
      <c r="L2000" s="18" t="s">
        <v>1480</v>
      </c>
      <c r="M2000" s="23" t="s">
        <v>75</v>
      </c>
    </row>
    <row r="2001" spans="12:13" x14ac:dyDescent="0.3">
      <c r="L2001" s="19" t="s">
        <v>1481</v>
      </c>
      <c r="M2001" s="24" t="s">
        <v>75</v>
      </c>
    </row>
    <row r="2002" spans="12:13" x14ac:dyDescent="0.3">
      <c r="L2002" s="18" t="s">
        <v>1482</v>
      </c>
      <c r="M2002" s="23" t="s">
        <v>75</v>
      </c>
    </row>
    <row r="2003" spans="12:13" x14ac:dyDescent="0.3">
      <c r="L2003" s="19" t="s">
        <v>1361</v>
      </c>
      <c r="M2003" s="24" t="s">
        <v>75</v>
      </c>
    </row>
    <row r="2004" spans="12:13" x14ac:dyDescent="0.3">
      <c r="L2004" s="18" t="s">
        <v>1483</v>
      </c>
      <c r="M2004" s="23" t="s">
        <v>75</v>
      </c>
    </row>
    <row r="2005" spans="12:13" x14ac:dyDescent="0.3">
      <c r="L2005" s="19" t="s">
        <v>1484</v>
      </c>
      <c r="M2005" s="24" t="s">
        <v>75</v>
      </c>
    </row>
    <row r="2006" spans="12:13" x14ac:dyDescent="0.3">
      <c r="L2006" s="18" t="s">
        <v>1260</v>
      </c>
      <c r="M2006" s="23" t="s">
        <v>75</v>
      </c>
    </row>
    <row r="2007" spans="12:13" x14ac:dyDescent="0.3">
      <c r="L2007" s="19" t="s">
        <v>1485</v>
      </c>
      <c r="M2007" s="24" t="s">
        <v>75</v>
      </c>
    </row>
    <row r="2008" spans="12:13" x14ac:dyDescent="0.3">
      <c r="L2008" s="18" t="s">
        <v>330</v>
      </c>
      <c r="M2008" s="23" t="s">
        <v>75</v>
      </c>
    </row>
    <row r="2009" spans="12:13" x14ac:dyDescent="0.3">
      <c r="L2009" s="19" t="s">
        <v>1486</v>
      </c>
      <c r="M2009" s="24" t="s">
        <v>75</v>
      </c>
    </row>
    <row r="2010" spans="12:13" x14ac:dyDescent="0.3">
      <c r="L2010" s="18" t="s">
        <v>1487</v>
      </c>
      <c r="M2010" s="23" t="s">
        <v>75</v>
      </c>
    </row>
    <row r="2011" spans="12:13" x14ac:dyDescent="0.3">
      <c r="L2011" s="19" t="s">
        <v>1488</v>
      </c>
      <c r="M2011" s="24" t="s">
        <v>75</v>
      </c>
    </row>
    <row r="2012" spans="12:13" x14ac:dyDescent="0.3">
      <c r="L2012" s="18" t="s">
        <v>1489</v>
      </c>
      <c r="M2012" s="23" t="s">
        <v>75</v>
      </c>
    </row>
    <row r="2013" spans="12:13" x14ac:dyDescent="0.3">
      <c r="L2013" s="19" t="s">
        <v>340</v>
      </c>
      <c r="M2013" s="24" t="s">
        <v>75</v>
      </c>
    </row>
    <row r="2014" spans="12:13" x14ac:dyDescent="0.3">
      <c r="L2014" s="18" t="s">
        <v>713</v>
      </c>
      <c r="M2014" s="23" t="s">
        <v>75</v>
      </c>
    </row>
    <row r="2015" spans="12:13" x14ac:dyDescent="0.3">
      <c r="L2015" s="19" t="s">
        <v>604</v>
      </c>
      <c r="M2015" s="24" t="s">
        <v>75</v>
      </c>
    </row>
    <row r="2016" spans="12:13" x14ac:dyDescent="0.3">
      <c r="L2016" s="18" t="s">
        <v>1490</v>
      </c>
      <c r="M2016" s="23" t="s">
        <v>75</v>
      </c>
    </row>
    <row r="2017" spans="12:13" x14ac:dyDescent="0.3">
      <c r="L2017" s="19" t="s">
        <v>714</v>
      </c>
      <c r="M2017" s="24" t="s">
        <v>75</v>
      </c>
    </row>
    <row r="2018" spans="12:13" x14ac:dyDescent="0.3">
      <c r="L2018" s="18" t="s">
        <v>719</v>
      </c>
      <c r="M2018" s="23" t="s">
        <v>75</v>
      </c>
    </row>
    <row r="2019" spans="12:13" x14ac:dyDescent="0.3">
      <c r="L2019" s="19" t="s">
        <v>858</v>
      </c>
      <c r="M2019" s="24" t="s">
        <v>75</v>
      </c>
    </row>
    <row r="2020" spans="12:13" x14ac:dyDescent="0.3">
      <c r="L2020" s="18" t="s">
        <v>1491</v>
      </c>
      <c r="M2020" s="23" t="s">
        <v>75</v>
      </c>
    </row>
    <row r="2021" spans="12:13" x14ac:dyDescent="0.3">
      <c r="L2021" s="19" t="s">
        <v>932</v>
      </c>
      <c r="M2021" s="24" t="s">
        <v>75</v>
      </c>
    </row>
    <row r="2022" spans="12:13" x14ac:dyDescent="0.3">
      <c r="L2022" s="18" t="s">
        <v>1492</v>
      </c>
      <c r="M2022" s="23" t="s">
        <v>75</v>
      </c>
    </row>
    <row r="2023" spans="12:13" x14ac:dyDescent="0.3">
      <c r="L2023" s="19" t="s">
        <v>1493</v>
      </c>
      <c r="M2023" s="24" t="s">
        <v>75</v>
      </c>
    </row>
    <row r="2024" spans="12:13" x14ac:dyDescent="0.3">
      <c r="L2024" s="18" t="s">
        <v>613</v>
      </c>
      <c r="M2024" s="23" t="s">
        <v>75</v>
      </c>
    </row>
    <row r="2025" spans="12:13" x14ac:dyDescent="0.3">
      <c r="L2025" s="19" t="s">
        <v>1150</v>
      </c>
      <c r="M2025" s="24" t="s">
        <v>75</v>
      </c>
    </row>
    <row r="2026" spans="12:13" x14ac:dyDescent="0.3">
      <c r="L2026" s="18" t="s">
        <v>1494</v>
      </c>
      <c r="M2026" s="23" t="s">
        <v>75</v>
      </c>
    </row>
    <row r="2027" spans="12:13" x14ac:dyDescent="0.3">
      <c r="L2027" s="19" t="s">
        <v>1153</v>
      </c>
      <c r="M2027" s="24" t="s">
        <v>75</v>
      </c>
    </row>
    <row r="2028" spans="12:13" x14ac:dyDescent="0.3">
      <c r="L2028" s="18" t="s">
        <v>724</v>
      </c>
      <c r="M2028" s="23" t="s">
        <v>75</v>
      </c>
    </row>
    <row r="2029" spans="12:13" x14ac:dyDescent="0.3">
      <c r="L2029" s="19" t="s">
        <v>1495</v>
      </c>
      <c r="M2029" s="24" t="s">
        <v>75</v>
      </c>
    </row>
    <row r="2030" spans="12:13" x14ac:dyDescent="0.3">
      <c r="L2030" s="18" t="s">
        <v>1496</v>
      </c>
      <c r="M2030" s="23" t="s">
        <v>75</v>
      </c>
    </row>
    <row r="2031" spans="12:13" x14ac:dyDescent="0.3">
      <c r="L2031" s="19" t="s">
        <v>877</v>
      </c>
      <c r="M2031" s="24" t="s">
        <v>75</v>
      </c>
    </row>
    <row r="2032" spans="12:13" x14ac:dyDescent="0.3">
      <c r="L2032" s="18" t="s">
        <v>817</v>
      </c>
      <c r="M2032" s="23" t="s">
        <v>75</v>
      </c>
    </row>
    <row r="2033" spans="12:13" x14ac:dyDescent="0.3">
      <c r="L2033" s="19" t="s">
        <v>1497</v>
      </c>
      <c r="M2033" s="24" t="s">
        <v>75</v>
      </c>
    </row>
    <row r="2034" spans="12:13" x14ac:dyDescent="0.3">
      <c r="L2034" s="18" t="s">
        <v>728</v>
      </c>
      <c r="M2034" s="23" t="s">
        <v>75</v>
      </c>
    </row>
    <row r="2035" spans="12:13" x14ac:dyDescent="0.3">
      <c r="L2035" s="19" t="s">
        <v>1160</v>
      </c>
      <c r="M2035" s="24" t="s">
        <v>75</v>
      </c>
    </row>
    <row r="2036" spans="12:13" x14ac:dyDescent="0.3">
      <c r="L2036" s="18" t="s">
        <v>1498</v>
      </c>
      <c r="M2036" s="23" t="s">
        <v>75</v>
      </c>
    </row>
    <row r="2037" spans="12:13" x14ac:dyDescent="0.3">
      <c r="L2037" s="19" t="s">
        <v>1499</v>
      </c>
      <c r="M2037" s="24" t="s">
        <v>75</v>
      </c>
    </row>
    <row r="2038" spans="12:13" x14ac:dyDescent="0.3">
      <c r="L2038" s="18" t="s">
        <v>1500</v>
      </c>
      <c r="M2038" s="23" t="s">
        <v>75</v>
      </c>
    </row>
    <row r="2039" spans="12:13" x14ac:dyDescent="0.3">
      <c r="L2039" s="19" t="s">
        <v>1501</v>
      </c>
      <c r="M2039" s="24" t="s">
        <v>75</v>
      </c>
    </row>
    <row r="2040" spans="12:13" x14ac:dyDescent="0.3">
      <c r="L2040" s="18" t="s">
        <v>1502</v>
      </c>
      <c r="M2040" s="23" t="s">
        <v>75</v>
      </c>
    </row>
    <row r="2041" spans="12:13" x14ac:dyDescent="0.3">
      <c r="L2041" s="19" t="s">
        <v>777</v>
      </c>
      <c r="M2041" s="24" t="s">
        <v>75</v>
      </c>
    </row>
    <row r="2042" spans="12:13" x14ac:dyDescent="0.3">
      <c r="L2042" s="18" t="s">
        <v>1503</v>
      </c>
      <c r="M2042" s="23" t="s">
        <v>75</v>
      </c>
    </row>
    <row r="2043" spans="12:13" x14ac:dyDescent="0.3">
      <c r="L2043" s="19" t="s">
        <v>422</v>
      </c>
      <c r="M2043" s="24" t="s">
        <v>74</v>
      </c>
    </row>
    <row r="2044" spans="12:13" x14ac:dyDescent="0.3">
      <c r="L2044" s="18" t="s">
        <v>738</v>
      </c>
      <c r="M2044" s="23" t="s">
        <v>74</v>
      </c>
    </row>
    <row r="2045" spans="12:13" x14ac:dyDescent="0.3">
      <c r="L2045" s="19" t="s">
        <v>1504</v>
      </c>
      <c r="M2045" s="24" t="s">
        <v>74</v>
      </c>
    </row>
    <row r="2046" spans="12:13" x14ac:dyDescent="0.3">
      <c r="L2046" s="18" t="s">
        <v>1505</v>
      </c>
      <c r="M2046" s="23" t="s">
        <v>74</v>
      </c>
    </row>
    <row r="2047" spans="12:13" x14ac:dyDescent="0.3">
      <c r="L2047" s="19" t="s">
        <v>1506</v>
      </c>
      <c r="M2047" s="24" t="s">
        <v>74</v>
      </c>
    </row>
    <row r="2048" spans="12:13" x14ac:dyDescent="0.3">
      <c r="L2048" s="18" t="s">
        <v>1507</v>
      </c>
      <c r="M2048" s="23" t="s">
        <v>74</v>
      </c>
    </row>
    <row r="2049" spans="12:13" x14ac:dyDescent="0.3">
      <c r="L2049" s="19" t="s">
        <v>1508</v>
      </c>
      <c r="M2049" s="24" t="s">
        <v>74</v>
      </c>
    </row>
    <row r="2050" spans="12:13" x14ac:dyDescent="0.3">
      <c r="L2050" s="18" t="s">
        <v>686</v>
      </c>
      <c r="M2050" s="23" t="s">
        <v>74</v>
      </c>
    </row>
    <row r="2051" spans="12:13" x14ac:dyDescent="0.3">
      <c r="L2051" s="19" t="s">
        <v>208</v>
      </c>
      <c r="M2051" s="24" t="s">
        <v>74</v>
      </c>
    </row>
    <row r="2052" spans="12:13" x14ac:dyDescent="0.3">
      <c r="L2052" s="18" t="s">
        <v>315</v>
      </c>
      <c r="M2052" s="23" t="s">
        <v>74</v>
      </c>
    </row>
    <row r="2053" spans="12:13" x14ac:dyDescent="0.3">
      <c r="L2053" s="19" t="s">
        <v>689</v>
      </c>
      <c r="M2053" s="24" t="s">
        <v>74</v>
      </c>
    </row>
    <row r="2054" spans="12:13" x14ac:dyDescent="0.3">
      <c r="L2054" s="18" t="s">
        <v>317</v>
      </c>
      <c r="M2054" s="23" t="s">
        <v>74</v>
      </c>
    </row>
    <row r="2055" spans="12:13" x14ac:dyDescent="0.3">
      <c r="L2055" s="19" t="s">
        <v>1509</v>
      </c>
      <c r="M2055" s="24" t="s">
        <v>74</v>
      </c>
    </row>
    <row r="2056" spans="12:13" x14ac:dyDescent="0.3">
      <c r="L2056" s="18" t="s">
        <v>691</v>
      </c>
      <c r="M2056" s="23" t="s">
        <v>74</v>
      </c>
    </row>
    <row r="2057" spans="12:13" x14ac:dyDescent="0.3">
      <c r="L2057" s="19" t="s">
        <v>1510</v>
      </c>
      <c r="M2057" s="24" t="s">
        <v>74</v>
      </c>
    </row>
    <row r="2058" spans="12:13" x14ac:dyDescent="0.3">
      <c r="L2058" s="18" t="s">
        <v>1511</v>
      </c>
      <c r="M2058" s="23" t="s">
        <v>74</v>
      </c>
    </row>
    <row r="2059" spans="12:13" x14ac:dyDescent="0.3">
      <c r="L2059" s="19" t="s">
        <v>322</v>
      </c>
      <c r="M2059" s="24" t="s">
        <v>74</v>
      </c>
    </row>
    <row r="2060" spans="12:13" x14ac:dyDescent="0.3">
      <c r="L2060" s="18" t="s">
        <v>1512</v>
      </c>
      <c r="M2060" s="23" t="s">
        <v>74</v>
      </c>
    </row>
    <row r="2061" spans="12:13" x14ac:dyDescent="0.3">
      <c r="L2061" s="19" t="s">
        <v>1513</v>
      </c>
      <c r="M2061" s="24" t="s">
        <v>74</v>
      </c>
    </row>
    <row r="2062" spans="12:13" x14ac:dyDescent="0.3">
      <c r="L2062" s="18" t="s">
        <v>1514</v>
      </c>
      <c r="M2062" s="23" t="s">
        <v>74</v>
      </c>
    </row>
    <row r="2063" spans="12:13" x14ac:dyDescent="0.3">
      <c r="L2063" s="19" t="s">
        <v>743</v>
      </c>
      <c r="M2063" s="24" t="s">
        <v>74</v>
      </c>
    </row>
    <row r="2064" spans="12:13" x14ac:dyDescent="0.3">
      <c r="L2064" s="18" t="s">
        <v>1387</v>
      </c>
      <c r="M2064" s="23" t="s">
        <v>74</v>
      </c>
    </row>
    <row r="2065" spans="12:13" x14ac:dyDescent="0.3">
      <c r="L2065" s="19" t="s">
        <v>476</v>
      </c>
      <c r="M2065" s="24" t="s">
        <v>74</v>
      </c>
    </row>
    <row r="2066" spans="12:13" x14ac:dyDescent="0.3">
      <c r="L2066" s="18" t="s">
        <v>230</v>
      </c>
      <c r="M2066" s="23" t="s">
        <v>74</v>
      </c>
    </row>
    <row r="2067" spans="12:13" x14ac:dyDescent="0.3">
      <c r="L2067" s="19" t="s">
        <v>231</v>
      </c>
      <c r="M2067" s="24" t="s">
        <v>74</v>
      </c>
    </row>
    <row r="2068" spans="12:13" x14ac:dyDescent="0.3">
      <c r="L2068" s="18" t="s">
        <v>328</v>
      </c>
      <c r="M2068" s="23" t="s">
        <v>74</v>
      </c>
    </row>
    <row r="2069" spans="12:13" x14ac:dyDescent="0.3">
      <c r="L2069" s="19" t="s">
        <v>1515</v>
      </c>
      <c r="M2069" s="24" t="s">
        <v>74</v>
      </c>
    </row>
    <row r="2070" spans="12:13" x14ac:dyDescent="0.3">
      <c r="L2070" s="18" t="s">
        <v>1516</v>
      </c>
      <c r="M2070" s="23" t="s">
        <v>74</v>
      </c>
    </row>
    <row r="2071" spans="12:13" x14ac:dyDescent="0.3">
      <c r="L2071" s="19" t="s">
        <v>233</v>
      </c>
      <c r="M2071" s="24" t="s">
        <v>74</v>
      </c>
    </row>
    <row r="2072" spans="12:13" x14ac:dyDescent="0.3">
      <c r="L2072" s="18" t="s">
        <v>1517</v>
      </c>
      <c r="M2072" s="23" t="s">
        <v>74</v>
      </c>
    </row>
    <row r="2073" spans="12:13" x14ac:dyDescent="0.3">
      <c r="L2073" s="19" t="s">
        <v>507</v>
      </c>
      <c r="M2073" s="24" t="s">
        <v>74</v>
      </c>
    </row>
    <row r="2074" spans="12:13" x14ac:dyDescent="0.3">
      <c r="L2074" s="18" t="s">
        <v>589</v>
      </c>
      <c r="M2074" s="23" t="s">
        <v>74</v>
      </c>
    </row>
    <row r="2075" spans="12:13" x14ac:dyDescent="0.3">
      <c r="L2075" s="19" t="s">
        <v>701</v>
      </c>
      <c r="M2075" s="24" t="s">
        <v>74</v>
      </c>
    </row>
    <row r="2076" spans="12:13" x14ac:dyDescent="0.3">
      <c r="L2076" s="18" t="s">
        <v>748</v>
      </c>
      <c r="M2076" s="23" t="s">
        <v>74</v>
      </c>
    </row>
    <row r="2077" spans="12:13" x14ac:dyDescent="0.3">
      <c r="L2077" s="19" t="s">
        <v>235</v>
      </c>
      <c r="M2077" s="24" t="s">
        <v>74</v>
      </c>
    </row>
    <row r="2078" spans="12:13" x14ac:dyDescent="0.3">
      <c r="L2078" s="18" t="s">
        <v>1518</v>
      </c>
      <c r="M2078" s="23" t="s">
        <v>74</v>
      </c>
    </row>
    <row r="2079" spans="12:13" x14ac:dyDescent="0.3">
      <c r="L2079" s="19" t="s">
        <v>1519</v>
      </c>
      <c r="M2079" s="24" t="s">
        <v>74</v>
      </c>
    </row>
    <row r="2080" spans="12:13" x14ac:dyDescent="0.3">
      <c r="L2080" s="18" t="s">
        <v>513</v>
      </c>
      <c r="M2080" s="23" t="s">
        <v>74</v>
      </c>
    </row>
    <row r="2081" spans="12:13" x14ac:dyDescent="0.3">
      <c r="L2081" s="19" t="s">
        <v>1069</v>
      </c>
      <c r="M2081" s="24" t="s">
        <v>74</v>
      </c>
    </row>
    <row r="2082" spans="12:13" x14ac:dyDescent="0.3">
      <c r="L2082" s="18" t="s">
        <v>237</v>
      </c>
      <c r="M2082" s="23" t="s">
        <v>74</v>
      </c>
    </row>
    <row r="2083" spans="12:13" x14ac:dyDescent="0.3">
      <c r="L2083" s="19" t="s">
        <v>238</v>
      </c>
      <c r="M2083" s="24" t="s">
        <v>74</v>
      </c>
    </row>
    <row r="2084" spans="12:13" x14ac:dyDescent="0.3">
      <c r="L2084" s="18" t="s">
        <v>709</v>
      </c>
      <c r="M2084" s="23" t="s">
        <v>74</v>
      </c>
    </row>
    <row r="2085" spans="12:13" x14ac:dyDescent="0.3">
      <c r="L2085" s="19" t="s">
        <v>382</v>
      </c>
      <c r="M2085" s="24" t="s">
        <v>74</v>
      </c>
    </row>
    <row r="2086" spans="12:13" x14ac:dyDescent="0.3">
      <c r="L2086" s="18" t="s">
        <v>241</v>
      </c>
      <c r="M2086" s="23" t="s">
        <v>74</v>
      </c>
    </row>
    <row r="2087" spans="12:13" x14ac:dyDescent="0.3">
      <c r="L2087" s="19" t="s">
        <v>1520</v>
      </c>
      <c r="M2087" s="24" t="s">
        <v>74</v>
      </c>
    </row>
    <row r="2088" spans="12:13" x14ac:dyDescent="0.3">
      <c r="L2088" s="18" t="s">
        <v>340</v>
      </c>
      <c r="M2088" s="23" t="s">
        <v>74</v>
      </c>
    </row>
    <row r="2089" spans="12:13" x14ac:dyDescent="0.3">
      <c r="L2089" s="19" t="s">
        <v>1521</v>
      </c>
      <c r="M2089" s="24" t="s">
        <v>74</v>
      </c>
    </row>
    <row r="2090" spans="12:13" x14ac:dyDescent="0.3">
      <c r="L2090" s="18" t="s">
        <v>802</v>
      </c>
      <c r="M2090" s="23" t="s">
        <v>74</v>
      </c>
    </row>
    <row r="2091" spans="12:13" x14ac:dyDescent="0.3">
      <c r="L2091" s="19" t="s">
        <v>246</v>
      </c>
      <c r="M2091" s="24" t="s">
        <v>74</v>
      </c>
    </row>
    <row r="2092" spans="12:13" x14ac:dyDescent="0.3">
      <c r="L2092" s="18" t="s">
        <v>1522</v>
      </c>
      <c r="M2092" s="23" t="s">
        <v>74</v>
      </c>
    </row>
    <row r="2093" spans="12:13" x14ac:dyDescent="0.3">
      <c r="L2093" s="19" t="s">
        <v>248</v>
      </c>
      <c r="M2093" s="24" t="s">
        <v>74</v>
      </c>
    </row>
    <row r="2094" spans="12:13" x14ac:dyDescent="0.3">
      <c r="L2094" s="18" t="s">
        <v>1523</v>
      </c>
      <c r="M2094" s="23" t="s">
        <v>74</v>
      </c>
    </row>
    <row r="2095" spans="12:13" x14ac:dyDescent="0.3">
      <c r="L2095" s="19" t="s">
        <v>1524</v>
      </c>
      <c r="M2095" s="24" t="s">
        <v>74</v>
      </c>
    </row>
    <row r="2096" spans="12:13" x14ac:dyDescent="0.3">
      <c r="L2096" s="18" t="s">
        <v>719</v>
      </c>
      <c r="M2096" s="23" t="s">
        <v>74</v>
      </c>
    </row>
    <row r="2097" spans="12:13" x14ac:dyDescent="0.3">
      <c r="L2097" s="19" t="s">
        <v>756</v>
      </c>
      <c r="M2097" s="24" t="s">
        <v>74</v>
      </c>
    </row>
    <row r="2098" spans="12:13" x14ac:dyDescent="0.3">
      <c r="L2098" s="18" t="s">
        <v>251</v>
      </c>
      <c r="M2098" s="23" t="s">
        <v>74</v>
      </c>
    </row>
    <row r="2099" spans="12:13" x14ac:dyDescent="0.3">
      <c r="L2099" s="19" t="s">
        <v>252</v>
      </c>
      <c r="M2099" s="24" t="s">
        <v>74</v>
      </c>
    </row>
    <row r="2100" spans="12:13" x14ac:dyDescent="0.3">
      <c r="L2100" s="18" t="s">
        <v>253</v>
      </c>
      <c r="M2100" s="23" t="s">
        <v>74</v>
      </c>
    </row>
    <row r="2101" spans="12:13" x14ac:dyDescent="0.3">
      <c r="L2101" s="19" t="s">
        <v>1525</v>
      </c>
      <c r="M2101" s="24" t="s">
        <v>74</v>
      </c>
    </row>
    <row r="2102" spans="12:13" x14ac:dyDescent="0.3">
      <c r="L2102" s="18" t="s">
        <v>1526</v>
      </c>
      <c r="M2102" s="23" t="s">
        <v>74</v>
      </c>
    </row>
    <row r="2103" spans="12:13" x14ac:dyDescent="0.3">
      <c r="L2103" s="19" t="s">
        <v>757</v>
      </c>
      <c r="M2103" s="24" t="s">
        <v>74</v>
      </c>
    </row>
    <row r="2104" spans="12:13" x14ac:dyDescent="0.3">
      <c r="L2104" s="18" t="s">
        <v>865</v>
      </c>
      <c r="M2104" s="23" t="s">
        <v>74</v>
      </c>
    </row>
    <row r="2105" spans="12:13" x14ac:dyDescent="0.3">
      <c r="L2105" s="19" t="s">
        <v>611</v>
      </c>
      <c r="M2105" s="24" t="s">
        <v>74</v>
      </c>
    </row>
    <row r="2106" spans="12:13" x14ac:dyDescent="0.3">
      <c r="L2106" s="18" t="s">
        <v>254</v>
      </c>
      <c r="M2106" s="23" t="s">
        <v>74</v>
      </c>
    </row>
    <row r="2107" spans="12:13" x14ac:dyDescent="0.3">
      <c r="L2107" s="19" t="s">
        <v>1527</v>
      </c>
      <c r="M2107" s="24" t="s">
        <v>74</v>
      </c>
    </row>
    <row r="2108" spans="12:13" x14ac:dyDescent="0.3">
      <c r="L2108" s="18" t="s">
        <v>256</v>
      </c>
      <c r="M2108" s="23" t="s">
        <v>74</v>
      </c>
    </row>
    <row r="2109" spans="12:13" x14ac:dyDescent="0.3">
      <c r="L2109" s="19" t="s">
        <v>1528</v>
      </c>
      <c r="M2109" s="24" t="s">
        <v>74</v>
      </c>
    </row>
    <row r="2110" spans="12:13" x14ac:dyDescent="0.3">
      <c r="L2110" s="18" t="s">
        <v>1529</v>
      </c>
      <c r="M2110" s="23" t="s">
        <v>74</v>
      </c>
    </row>
    <row r="2111" spans="12:13" x14ac:dyDescent="0.3">
      <c r="L2111" s="19" t="s">
        <v>527</v>
      </c>
      <c r="M2111" s="24" t="s">
        <v>74</v>
      </c>
    </row>
    <row r="2112" spans="12:13" x14ac:dyDescent="0.3">
      <c r="L2112" s="18" t="s">
        <v>724</v>
      </c>
      <c r="M2112" s="23" t="s">
        <v>74</v>
      </c>
    </row>
    <row r="2113" spans="12:13" x14ac:dyDescent="0.3">
      <c r="L2113" s="19" t="s">
        <v>1530</v>
      </c>
      <c r="M2113" s="24" t="s">
        <v>74</v>
      </c>
    </row>
    <row r="2114" spans="12:13" x14ac:dyDescent="0.3">
      <c r="L2114" s="18" t="s">
        <v>1531</v>
      </c>
      <c r="M2114" s="23" t="s">
        <v>74</v>
      </c>
    </row>
    <row r="2115" spans="12:13" x14ac:dyDescent="0.3">
      <c r="L2115" s="19" t="s">
        <v>1532</v>
      </c>
      <c r="M2115" s="24" t="s">
        <v>74</v>
      </c>
    </row>
    <row r="2116" spans="12:13" x14ac:dyDescent="0.3">
      <c r="L2116" s="18" t="s">
        <v>1402</v>
      </c>
      <c r="M2116" s="23" t="s">
        <v>74</v>
      </c>
    </row>
    <row r="2117" spans="12:13" x14ac:dyDescent="0.3">
      <c r="L2117" s="19" t="s">
        <v>260</v>
      </c>
      <c r="M2117" s="24" t="s">
        <v>74</v>
      </c>
    </row>
    <row r="2118" spans="12:13" x14ac:dyDescent="0.3">
      <c r="L2118" s="18" t="s">
        <v>728</v>
      </c>
      <c r="M2118" s="23" t="s">
        <v>74</v>
      </c>
    </row>
    <row r="2119" spans="12:13" x14ac:dyDescent="0.3">
      <c r="L2119" s="19" t="s">
        <v>473</v>
      </c>
      <c r="M2119" s="24" t="s">
        <v>74</v>
      </c>
    </row>
    <row r="2120" spans="12:13" x14ac:dyDescent="0.3">
      <c r="L2120" s="18" t="s">
        <v>1533</v>
      </c>
      <c r="M2120" s="23" t="s">
        <v>74</v>
      </c>
    </row>
    <row r="2121" spans="12:13" x14ac:dyDescent="0.3">
      <c r="L2121" s="19" t="s">
        <v>1534</v>
      </c>
      <c r="M2121" s="24" t="s">
        <v>74</v>
      </c>
    </row>
    <row r="2122" spans="12:13" x14ac:dyDescent="0.3">
      <c r="L2122" s="18" t="s">
        <v>361</v>
      </c>
      <c r="M2122" s="23" t="s">
        <v>74</v>
      </c>
    </row>
    <row r="2123" spans="12:13" x14ac:dyDescent="0.3">
      <c r="L2123" s="19" t="s">
        <v>1535</v>
      </c>
      <c r="M2123" s="24" t="s">
        <v>74</v>
      </c>
    </row>
    <row r="2124" spans="12:13" x14ac:dyDescent="0.3">
      <c r="L2124" s="18" t="s">
        <v>1536</v>
      </c>
      <c r="M2124" s="23" t="s">
        <v>74</v>
      </c>
    </row>
    <row r="2125" spans="12:13" x14ac:dyDescent="0.3">
      <c r="L2125" s="19" t="s">
        <v>638</v>
      </c>
      <c r="M2125" s="24" t="s">
        <v>74</v>
      </c>
    </row>
    <row r="2126" spans="12:13" x14ac:dyDescent="0.3">
      <c r="L2126" s="18" t="s">
        <v>266</v>
      </c>
      <c r="M2126" s="23" t="s">
        <v>74</v>
      </c>
    </row>
    <row r="2127" spans="12:13" x14ac:dyDescent="0.3">
      <c r="L2127" s="19" t="s">
        <v>639</v>
      </c>
      <c r="M2127" s="24" t="s">
        <v>74</v>
      </c>
    </row>
    <row r="2128" spans="12:13" x14ac:dyDescent="0.3">
      <c r="L2128" s="18" t="s">
        <v>1503</v>
      </c>
      <c r="M2128" s="23" t="s">
        <v>74</v>
      </c>
    </row>
    <row r="2129" spans="12:13" x14ac:dyDescent="0.3">
      <c r="L2129" s="19" t="s">
        <v>1537</v>
      </c>
      <c r="M2129" s="24" t="s">
        <v>74</v>
      </c>
    </row>
    <row r="2130" spans="12:13" x14ac:dyDescent="0.3">
      <c r="L2130" s="18" t="s">
        <v>1538</v>
      </c>
      <c r="M2130" s="23" t="s">
        <v>74</v>
      </c>
    </row>
    <row r="2131" spans="12:13" x14ac:dyDescent="0.3">
      <c r="L2131" s="19" t="s">
        <v>779</v>
      </c>
      <c r="M2131" s="24" t="s">
        <v>30</v>
      </c>
    </row>
    <row r="2132" spans="12:13" x14ac:dyDescent="0.3">
      <c r="L2132" s="18" t="s">
        <v>1539</v>
      </c>
      <c r="M2132" s="23" t="s">
        <v>30</v>
      </c>
    </row>
    <row r="2133" spans="12:13" x14ac:dyDescent="0.3">
      <c r="L2133" s="19" t="s">
        <v>1540</v>
      </c>
      <c r="M2133" s="24" t="s">
        <v>30</v>
      </c>
    </row>
    <row r="2134" spans="12:13" x14ac:dyDescent="0.3">
      <c r="L2134" s="18" t="s">
        <v>1541</v>
      </c>
      <c r="M2134" s="23" t="s">
        <v>30</v>
      </c>
    </row>
    <row r="2135" spans="12:13" x14ac:dyDescent="0.3">
      <c r="L2135" s="19" t="s">
        <v>1542</v>
      </c>
      <c r="M2135" s="24" t="s">
        <v>30</v>
      </c>
    </row>
    <row r="2136" spans="12:13" x14ac:dyDescent="0.3">
      <c r="L2136" s="18" t="s">
        <v>656</v>
      </c>
      <c r="M2136" s="23" t="s">
        <v>30</v>
      </c>
    </row>
    <row r="2137" spans="12:13" x14ac:dyDescent="0.3">
      <c r="L2137" s="19" t="s">
        <v>549</v>
      </c>
      <c r="M2137" s="24" t="s">
        <v>30</v>
      </c>
    </row>
    <row r="2138" spans="12:13" x14ac:dyDescent="0.3">
      <c r="L2138" s="18" t="s">
        <v>1543</v>
      </c>
      <c r="M2138" s="23" t="s">
        <v>30</v>
      </c>
    </row>
    <row r="2139" spans="12:13" x14ac:dyDescent="0.3">
      <c r="L2139" s="19" t="s">
        <v>1544</v>
      </c>
      <c r="M2139" s="24" t="s">
        <v>30</v>
      </c>
    </row>
    <row r="2140" spans="12:13" x14ac:dyDescent="0.3">
      <c r="L2140" s="18" t="s">
        <v>905</v>
      </c>
      <c r="M2140" s="23" t="s">
        <v>30</v>
      </c>
    </row>
    <row r="2141" spans="12:13" x14ac:dyDescent="0.3">
      <c r="L2141" s="19" t="s">
        <v>211</v>
      </c>
      <c r="M2141" s="24" t="s">
        <v>30</v>
      </c>
    </row>
    <row r="2142" spans="12:13" x14ac:dyDescent="0.3">
      <c r="L2142" s="18" t="s">
        <v>213</v>
      </c>
      <c r="M2142" s="23" t="s">
        <v>30</v>
      </c>
    </row>
    <row r="2143" spans="12:13" x14ac:dyDescent="0.3">
      <c r="L2143" s="19" t="s">
        <v>1545</v>
      </c>
      <c r="M2143" s="24" t="s">
        <v>30</v>
      </c>
    </row>
    <row r="2144" spans="12:13" x14ac:dyDescent="0.3">
      <c r="L2144" s="18" t="s">
        <v>318</v>
      </c>
      <c r="M2144" s="23" t="s">
        <v>30</v>
      </c>
    </row>
    <row r="2145" spans="12:13" x14ac:dyDescent="0.3">
      <c r="L2145" s="19" t="s">
        <v>1546</v>
      </c>
      <c r="M2145" s="24" t="s">
        <v>30</v>
      </c>
    </row>
    <row r="2146" spans="12:13" x14ac:dyDescent="0.3">
      <c r="L2146" s="18" t="s">
        <v>833</v>
      </c>
      <c r="M2146" s="23" t="s">
        <v>30</v>
      </c>
    </row>
    <row r="2147" spans="12:13" x14ac:dyDescent="0.3">
      <c r="L2147" s="19" t="s">
        <v>1547</v>
      </c>
      <c r="M2147" s="24" t="s">
        <v>30</v>
      </c>
    </row>
    <row r="2148" spans="12:13" x14ac:dyDescent="0.3">
      <c r="L2148" s="18" t="s">
        <v>1548</v>
      </c>
      <c r="M2148" s="23" t="s">
        <v>30</v>
      </c>
    </row>
    <row r="2149" spans="12:13" x14ac:dyDescent="0.3">
      <c r="L2149" s="19" t="s">
        <v>1549</v>
      </c>
      <c r="M2149" s="24" t="s">
        <v>30</v>
      </c>
    </row>
    <row r="2150" spans="12:13" x14ac:dyDescent="0.3">
      <c r="L2150" s="18" t="s">
        <v>435</v>
      </c>
      <c r="M2150" s="23" t="s">
        <v>30</v>
      </c>
    </row>
    <row r="2151" spans="12:13" x14ac:dyDescent="0.3">
      <c r="L2151" s="19" t="s">
        <v>743</v>
      </c>
      <c r="M2151" s="24" t="s">
        <v>30</v>
      </c>
    </row>
    <row r="2152" spans="12:13" x14ac:dyDescent="0.3">
      <c r="L2152" s="18" t="s">
        <v>1550</v>
      </c>
      <c r="M2152" s="23" t="s">
        <v>30</v>
      </c>
    </row>
    <row r="2153" spans="12:13" x14ac:dyDescent="0.3">
      <c r="L2153" s="19" t="s">
        <v>837</v>
      </c>
      <c r="M2153" s="24" t="s">
        <v>30</v>
      </c>
    </row>
    <row r="2154" spans="12:13" x14ac:dyDescent="0.3">
      <c r="L2154" s="18" t="s">
        <v>444</v>
      </c>
      <c r="M2154" s="23" t="s">
        <v>30</v>
      </c>
    </row>
    <row r="2155" spans="12:13" x14ac:dyDescent="0.3">
      <c r="L2155" s="19" t="s">
        <v>1551</v>
      </c>
      <c r="M2155" s="24" t="s">
        <v>30</v>
      </c>
    </row>
    <row r="2156" spans="12:13" x14ac:dyDescent="0.3">
      <c r="L2156" s="18" t="s">
        <v>585</v>
      </c>
      <c r="M2156" s="23" t="s">
        <v>30</v>
      </c>
    </row>
    <row r="2157" spans="12:13" x14ac:dyDescent="0.3">
      <c r="L2157" s="19" t="s">
        <v>330</v>
      </c>
      <c r="M2157" s="24" t="s">
        <v>30</v>
      </c>
    </row>
    <row r="2158" spans="12:13" x14ac:dyDescent="0.3">
      <c r="L2158" s="18" t="s">
        <v>1552</v>
      </c>
      <c r="M2158" s="23" t="s">
        <v>30</v>
      </c>
    </row>
    <row r="2159" spans="12:13" x14ac:dyDescent="0.3">
      <c r="L2159" s="19" t="s">
        <v>1553</v>
      </c>
      <c r="M2159" s="24" t="s">
        <v>30</v>
      </c>
    </row>
    <row r="2160" spans="12:13" x14ac:dyDescent="0.3">
      <c r="L2160" s="18" t="s">
        <v>845</v>
      </c>
      <c r="M2160" s="23" t="s">
        <v>30</v>
      </c>
    </row>
    <row r="2161" spans="12:13" x14ac:dyDescent="0.3">
      <c r="L2161" s="19" t="s">
        <v>847</v>
      </c>
      <c r="M2161" s="24" t="s">
        <v>30</v>
      </c>
    </row>
    <row r="2162" spans="12:13" x14ac:dyDescent="0.3">
      <c r="L2162" s="18" t="s">
        <v>1554</v>
      </c>
      <c r="M2162" s="23" t="s">
        <v>30</v>
      </c>
    </row>
    <row r="2163" spans="12:13" x14ac:dyDescent="0.3">
      <c r="L2163" s="19" t="s">
        <v>237</v>
      </c>
      <c r="M2163" s="24" t="s">
        <v>30</v>
      </c>
    </row>
    <row r="2164" spans="12:13" x14ac:dyDescent="0.3">
      <c r="L2164" s="18" t="s">
        <v>238</v>
      </c>
      <c r="M2164" s="23" t="s">
        <v>30</v>
      </c>
    </row>
    <row r="2165" spans="12:13" x14ac:dyDescent="0.3">
      <c r="L2165" s="19" t="s">
        <v>1444</v>
      </c>
      <c r="M2165" s="24" t="s">
        <v>30</v>
      </c>
    </row>
    <row r="2166" spans="12:13" x14ac:dyDescent="0.3">
      <c r="L2166" s="18" t="s">
        <v>1555</v>
      </c>
      <c r="M2166" s="23" t="s">
        <v>30</v>
      </c>
    </row>
    <row r="2167" spans="12:13" x14ac:dyDescent="0.3">
      <c r="L2167" s="19" t="s">
        <v>1556</v>
      </c>
      <c r="M2167" s="24" t="s">
        <v>30</v>
      </c>
    </row>
    <row r="2168" spans="12:13" x14ac:dyDescent="0.3">
      <c r="L2168" s="18" t="s">
        <v>450</v>
      </c>
      <c r="M2168" s="23" t="s">
        <v>30</v>
      </c>
    </row>
    <row r="2169" spans="12:13" x14ac:dyDescent="0.3">
      <c r="L2169" s="19" t="s">
        <v>1557</v>
      </c>
      <c r="M2169" s="24" t="s">
        <v>30</v>
      </c>
    </row>
    <row r="2170" spans="12:13" x14ac:dyDescent="0.3">
      <c r="L2170" s="18" t="s">
        <v>1558</v>
      </c>
      <c r="M2170" s="23" t="s">
        <v>30</v>
      </c>
    </row>
    <row r="2171" spans="12:13" x14ac:dyDescent="0.3">
      <c r="L2171" s="19" t="s">
        <v>338</v>
      </c>
      <c r="M2171" s="24" t="s">
        <v>30</v>
      </c>
    </row>
    <row r="2172" spans="12:13" x14ac:dyDescent="0.3">
      <c r="L2172" s="18" t="s">
        <v>340</v>
      </c>
      <c r="M2172" s="23" t="s">
        <v>30</v>
      </c>
    </row>
    <row r="2173" spans="12:13" x14ac:dyDescent="0.3">
      <c r="L2173" s="19" t="s">
        <v>1559</v>
      </c>
      <c r="M2173" s="24" t="s">
        <v>30</v>
      </c>
    </row>
    <row r="2174" spans="12:13" x14ac:dyDescent="0.3">
      <c r="L2174" s="18" t="s">
        <v>1560</v>
      </c>
      <c r="M2174" s="23" t="s">
        <v>30</v>
      </c>
    </row>
    <row r="2175" spans="12:13" x14ac:dyDescent="0.3">
      <c r="L2175" s="19" t="s">
        <v>1561</v>
      </c>
      <c r="M2175" s="24" t="s">
        <v>30</v>
      </c>
    </row>
    <row r="2176" spans="12:13" x14ac:dyDescent="0.3">
      <c r="L2176" s="18" t="s">
        <v>604</v>
      </c>
      <c r="M2176" s="23" t="s">
        <v>30</v>
      </c>
    </row>
    <row r="2177" spans="12:13" x14ac:dyDescent="0.3">
      <c r="L2177" s="19" t="s">
        <v>1562</v>
      </c>
      <c r="M2177" s="24" t="s">
        <v>30</v>
      </c>
    </row>
    <row r="2178" spans="12:13" x14ac:dyDescent="0.3">
      <c r="L2178" s="18" t="s">
        <v>249</v>
      </c>
      <c r="M2178" s="23" t="s">
        <v>30</v>
      </c>
    </row>
    <row r="2179" spans="12:13" x14ac:dyDescent="0.3">
      <c r="L2179" s="19" t="s">
        <v>1563</v>
      </c>
      <c r="M2179" s="24" t="s">
        <v>30</v>
      </c>
    </row>
    <row r="2180" spans="12:13" x14ac:dyDescent="0.3">
      <c r="L2180" s="18" t="s">
        <v>607</v>
      </c>
      <c r="M2180" s="23" t="s">
        <v>30</v>
      </c>
    </row>
    <row r="2181" spans="12:13" x14ac:dyDescent="0.3">
      <c r="L2181" s="19" t="s">
        <v>1564</v>
      </c>
      <c r="M2181" s="24" t="s">
        <v>30</v>
      </c>
    </row>
    <row r="2182" spans="12:13" x14ac:dyDescent="0.3">
      <c r="L2182" s="18" t="s">
        <v>757</v>
      </c>
      <c r="M2182" s="23" t="s">
        <v>30</v>
      </c>
    </row>
    <row r="2183" spans="12:13" x14ac:dyDescent="0.3">
      <c r="L2183" s="19" t="s">
        <v>1565</v>
      </c>
      <c r="M2183" s="24" t="s">
        <v>30</v>
      </c>
    </row>
    <row r="2184" spans="12:13" x14ac:dyDescent="0.3">
      <c r="L2184" s="18" t="s">
        <v>1566</v>
      </c>
      <c r="M2184" s="23" t="s">
        <v>30</v>
      </c>
    </row>
    <row r="2185" spans="12:13" x14ac:dyDescent="0.3">
      <c r="L2185" s="19" t="s">
        <v>1567</v>
      </c>
      <c r="M2185" s="24" t="s">
        <v>30</v>
      </c>
    </row>
    <row r="2186" spans="12:13" x14ac:dyDescent="0.3">
      <c r="L2186" s="18" t="s">
        <v>1568</v>
      </c>
      <c r="M2186" s="23" t="s">
        <v>30</v>
      </c>
    </row>
    <row r="2187" spans="12:13" x14ac:dyDescent="0.3">
      <c r="L2187" s="19" t="s">
        <v>863</v>
      </c>
      <c r="M2187" s="24" t="s">
        <v>30</v>
      </c>
    </row>
    <row r="2188" spans="12:13" x14ac:dyDescent="0.3">
      <c r="L2188" s="18" t="s">
        <v>865</v>
      </c>
      <c r="M2188" s="23" t="s">
        <v>30</v>
      </c>
    </row>
    <row r="2189" spans="12:13" x14ac:dyDescent="0.3">
      <c r="L2189" s="19" t="s">
        <v>866</v>
      </c>
      <c r="M2189" s="24" t="s">
        <v>30</v>
      </c>
    </row>
    <row r="2190" spans="12:13" x14ac:dyDescent="0.3">
      <c r="L2190" s="18" t="s">
        <v>1569</v>
      </c>
      <c r="M2190" s="23" t="s">
        <v>30</v>
      </c>
    </row>
    <row r="2191" spans="12:13" x14ac:dyDescent="0.3">
      <c r="L2191" s="19" t="s">
        <v>1570</v>
      </c>
      <c r="M2191" s="24" t="s">
        <v>30</v>
      </c>
    </row>
    <row r="2192" spans="12:13" x14ac:dyDescent="0.3">
      <c r="L2192" s="18" t="s">
        <v>1194</v>
      </c>
      <c r="M2192" s="23" t="s">
        <v>30</v>
      </c>
    </row>
    <row r="2193" spans="12:13" x14ac:dyDescent="0.3">
      <c r="L2193" s="19" t="s">
        <v>867</v>
      </c>
      <c r="M2193" s="24" t="s">
        <v>30</v>
      </c>
    </row>
    <row r="2194" spans="12:13" x14ac:dyDescent="0.3">
      <c r="L2194" s="18" t="s">
        <v>1571</v>
      </c>
      <c r="M2194" s="23" t="s">
        <v>30</v>
      </c>
    </row>
    <row r="2195" spans="12:13" x14ac:dyDescent="0.3">
      <c r="L2195" s="19" t="s">
        <v>1572</v>
      </c>
      <c r="M2195" s="24" t="s">
        <v>30</v>
      </c>
    </row>
    <row r="2196" spans="12:13" x14ac:dyDescent="0.3">
      <c r="L2196" s="18" t="s">
        <v>1573</v>
      </c>
      <c r="M2196" s="23" t="s">
        <v>30</v>
      </c>
    </row>
    <row r="2197" spans="12:13" x14ac:dyDescent="0.3">
      <c r="L2197" s="19" t="s">
        <v>532</v>
      </c>
      <c r="M2197" s="24" t="s">
        <v>30</v>
      </c>
    </row>
    <row r="2198" spans="12:13" x14ac:dyDescent="0.3">
      <c r="L2198" s="18" t="s">
        <v>1574</v>
      </c>
      <c r="M2198" s="23" t="s">
        <v>30</v>
      </c>
    </row>
    <row r="2199" spans="12:13" x14ac:dyDescent="0.3">
      <c r="L2199" s="19" t="s">
        <v>621</v>
      </c>
      <c r="M2199" s="24" t="s">
        <v>30</v>
      </c>
    </row>
    <row r="2200" spans="12:13" x14ac:dyDescent="0.3">
      <c r="L2200" s="18" t="s">
        <v>1245</v>
      </c>
      <c r="M2200" s="23" t="s">
        <v>30</v>
      </c>
    </row>
    <row r="2201" spans="12:13" x14ac:dyDescent="0.3">
      <c r="L2201" s="19" t="s">
        <v>1575</v>
      </c>
      <c r="M2201" s="24" t="s">
        <v>30</v>
      </c>
    </row>
    <row r="2202" spans="12:13" x14ac:dyDescent="0.3">
      <c r="L2202" s="18" t="s">
        <v>1576</v>
      </c>
      <c r="M2202" s="23" t="s">
        <v>30</v>
      </c>
    </row>
    <row r="2203" spans="12:13" x14ac:dyDescent="0.3">
      <c r="L2203" s="19" t="s">
        <v>1577</v>
      </c>
      <c r="M2203" s="24" t="s">
        <v>30</v>
      </c>
    </row>
    <row r="2204" spans="12:13" x14ac:dyDescent="0.3">
      <c r="L2204" s="18" t="s">
        <v>266</v>
      </c>
      <c r="M2204" s="23" t="s">
        <v>30</v>
      </c>
    </row>
    <row r="2205" spans="12:13" x14ac:dyDescent="0.3">
      <c r="L2205" s="19" t="s">
        <v>1578</v>
      </c>
      <c r="M2205" s="24" t="s">
        <v>30</v>
      </c>
    </row>
    <row r="2206" spans="12:13" x14ac:dyDescent="0.3">
      <c r="L2206" s="18" t="s">
        <v>1579</v>
      </c>
      <c r="M2206" s="23" t="s">
        <v>30</v>
      </c>
    </row>
    <row r="2207" spans="12:13" x14ac:dyDescent="0.3">
      <c r="L2207" s="19" t="s">
        <v>1580</v>
      </c>
      <c r="M2207" s="24" t="s">
        <v>30</v>
      </c>
    </row>
    <row r="2208" spans="12:13" x14ac:dyDescent="0.3">
      <c r="L2208" s="18" t="s">
        <v>490</v>
      </c>
      <c r="M2208" s="23" t="s">
        <v>73</v>
      </c>
    </row>
    <row r="2209" spans="12:13" x14ac:dyDescent="0.3">
      <c r="L2209" s="19" t="s">
        <v>312</v>
      </c>
      <c r="M2209" s="24" t="s">
        <v>73</v>
      </c>
    </row>
    <row r="2210" spans="12:13" x14ac:dyDescent="0.3">
      <c r="L2210" s="18" t="s">
        <v>1581</v>
      </c>
      <c r="M2210" s="23" t="s">
        <v>73</v>
      </c>
    </row>
    <row r="2211" spans="12:13" x14ac:dyDescent="0.3">
      <c r="L2211" s="19" t="s">
        <v>1582</v>
      </c>
      <c r="M2211" s="24" t="s">
        <v>73</v>
      </c>
    </row>
    <row r="2212" spans="12:13" x14ac:dyDescent="0.3">
      <c r="L2212" s="18" t="s">
        <v>319</v>
      </c>
      <c r="M2212" s="23" t="s">
        <v>73</v>
      </c>
    </row>
    <row r="2213" spans="12:13" x14ac:dyDescent="0.3">
      <c r="L2213" s="19" t="s">
        <v>1338</v>
      </c>
      <c r="M2213" s="24" t="s">
        <v>73</v>
      </c>
    </row>
    <row r="2214" spans="12:13" x14ac:dyDescent="0.3">
      <c r="L2214" s="18" t="s">
        <v>1583</v>
      </c>
      <c r="M2214" s="23" t="s">
        <v>73</v>
      </c>
    </row>
    <row r="2215" spans="12:13" x14ac:dyDescent="0.3">
      <c r="L2215" s="19" t="s">
        <v>1358</v>
      </c>
      <c r="M2215" s="24" t="s">
        <v>73</v>
      </c>
    </row>
    <row r="2216" spans="12:13" x14ac:dyDescent="0.3">
      <c r="L2216" s="18" t="s">
        <v>1584</v>
      </c>
      <c r="M2216" s="23" t="s">
        <v>73</v>
      </c>
    </row>
    <row r="2217" spans="12:13" x14ac:dyDescent="0.3">
      <c r="L2217" s="19" t="s">
        <v>439</v>
      </c>
      <c r="M2217" s="24" t="s">
        <v>73</v>
      </c>
    </row>
    <row r="2218" spans="12:13" x14ac:dyDescent="0.3">
      <c r="L2218" s="18" t="s">
        <v>1585</v>
      </c>
      <c r="M2218" s="23" t="s">
        <v>73</v>
      </c>
    </row>
    <row r="2219" spans="12:13" x14ac:dyDescent="0.3">
      <c r="L2219" s="19" t="s">
        <v>330</v>
      </c>
      <c r="M2219" s="24" t="s">
        <v>73</v>
      </c>
    </row>
    <row r="2220" spans="12:13" x14ac:dyDescent="0.3">
      <c r="L2220" s="18" t="s">
        <v>1586</v>
      </c>
      <c r="M2220" s="23" t="s">
        <v>73</v>
      </c>
    </row>
    <row r="2221" spans="12:13" x14ac:dyDescent="0.3">
      <c r="L2221" s="19" t="s">
        <v>1587</v>
      </c>
      <c r="M2221" s="24" t="s">
        <v>73</v>
      </c>
    </row>
    <row r="2222" spans="12:13" x14ac:dyDescent="0.3">
      <c r="L2222" s="18" t="s">
        <v>237</v>
      </c>
      <c r="M2222" s="23" t="s">
        <v>73</v>
      </c>
    </row>
    <row r="2223" spans="12:13" x14ac:dyDescent="0.3">
      <c r="L2223" s="19" t="s">
        <v>238</v>
      </c>
      <c r="M2223" s="24" t="s">
        <v>73</v>
      </c>
    </row>
    <row r="2224" spans="12:13" x14ac:dyDescent="0.3">
      <c r="L2224" s="18" t="s">
        <v>1588</v>
      </c>
      <c r="M2224" s="23" t="s">
        <v>73</v>
      </c>
    </row>
    <row r="2225" spans="12:13" x14ac:dyDescent="0.3">
      <c r="L2225" s="19" t="s">
        <v>1589</v>
      </c>
      <c r="M2225" s="24" t="s">
        <v>73</v>
      </c>
    </row>
    <row r="2226" spans="12:13" x14ac:dyDescent="0.3">
      <c r="L2226" s="18" t="s">
        <v>382</v>
      </c>
      <c r="M2226" s="23" t="s">
        <v>73</v>
      </c>
    </row>
    <row r="2227" spans="12:13" x14ac:dyDescent="0.3">
      <c r="L2227" s="19" t="s">
        <v>853</v>
      </c>
      <c r="M2227" s="24" t="s">
        <v>73</v>
      </c>
    </row>
    <row r="2228" spans="12:13" x14ac:dyDescent="0.3">
      <c r="L2228" s="18" t="s">
        <v>338</v>
      </c>
      <c r="M2228" s="23" t="s">
        <v>73</v>
      </c>
    </row>
    <row r="2229" spans="12:13" x14ac:dyDescent="0.3">
      <c r="L2229" s="19" t="s">
        <v>800</v>
      </c>
      <c r="M2229" s="24" t="s">
        <v>73</v>
      </c>
    </row>
    <row r="2230" spans="12:13" x14ac:dyDescent="0.3">
      <c r="L2230" s="18" t="s">
        <v>1590</v>
      </c>
      <c r="M2230" s="23" t="s">
        <v>73</v>
      </c>
    </row>
    <row r="2231" spans="12:13" x14ac:dyDescent="0.3">
      <c r="L2231" s="19" t="s">
        <v>248</v>
      </c>
      <c r="M2231" s="24" t="s">
        <v>73</v>
      </c>
    </row>
    <row r="2232" spans="12:13" x14ac:dyDescent="0.3">
      <c r="L2232" s="18" t="s">
        <v>1525</v>
      </c>
      <c r="M2232" s="23" t="s">
        <v>73</v>
      </c>
    </row>
    <row r="2233" spans="12:13" x14ac:dyDescent="0.3">
      <c r="L2233" s="19" t="s">
        <v>1591</v>
      </c>
      <c r="M2233" s="24" t="s">
        <v>73</v>
      </c>
    </row>
    <row r="2234" spans="12:13" x14ac:dyDescent="0.3">
      <c r="L2234" s="18" t="s">
        <v>349</v>
      </c>
      <c r="M2234" s="23" t="s">
        <v>73</v>
      </c>
    </row>
    <row r="2235" spans="12:13" x14ac:dyDescent="0.3">
      <c r="L2235" s="19" t="s">
        <v>878</v>
      </c>
      <c r="M2235" s="24" t="s">
        <v>73</v>
      </c>
    </row>
    <row r="2236" spans="12:13" x14ac:dyDescent="0.3">
      <c r="L2236" s="18" t="s">
        <v>1592</v>
      </c>
      <c r="M2236" s="23" t="s">
        <v>73</v>
      </c>
    </row>
    <row r="2237" spans="12:13" x14ac:dyDescent="0.3">
      <c r="L2237" s="19" t="s">
        <v>1593</v>
      </c>
      <c r="M2237" s="24" t="s">
        <v>73</v>
      </c>
    </row>
    <row r="2238" spans="12:13" x14ac:dyDescent="0.3">
      <c r="L2238" s="18" t="s">
        <v>361</v>
      </c>
      <c r="M2238" s="23" t="s">
        <v>73</v>
      </c>
    </row>
    <row r="2239" spans="12:13" x14ac:dyDescent="0.3">
      <c r="L2239" s="19" t="s">
        <v>1594</v>
      </c>
      <c r="M2239" s="24" t="s">
        <v>73</v>
      </c>
    </row>
    <row r="2240" spans="12:13" x14ac:dyDescent="0.3">
      <c r="L2240" s="18" t="s">
        <v>1595</v>
      </c>
      <c r="M2240" s="23" t="s">
        <v>73</v>
      </c>
    </row>
    <row r="2241" spans="12:13" x14ac:dyDescent="0.3">
      <c r="L2241" s="19" t="s">
        <v>266</v>
      </c>
      <c r="M2241" s="24" t="s">
        <v>73</v>
      </c>
    </row>
    <row r="2242" spans="12:13" x14ac:dyDescent="0.3">
      <c r="L2242" s="18" t="s">
        <v>641</v>
      </c>
      <c r="M2242" s="23" t="s">
        <v>73</v>
      </c>
    </row>
    <row r="2243" spans="12:13" x14ac:dyDescent="0.3">
      <c r="L2243" s="19" t="s">
        <v>1596</v>
      </c>
      <c r="M2243" s="24" t="s">
        <v>73</v>
      </c>
    </row>
    <row r="2244" spans="12:13" x14ac:dyDescent="0.3">
      <c r="L2244" s="18" t="s">
        <v>422</v>
      </c>
      <c r="M2244" s="23" t="s">
        <v>72</v>
      </c>
    </row>
    <row r="2245" spans="12:13" x14ac:dyDescent="0.3">
      <c r="L2245" s="19" t="s">
        <v>1597</v>
      </c>
      <c r="M2245" s="24" t="s">
        <v>72</v>
      </c>
    </row>
    <row r="2246" spans="12:13" x14ac:dyDescent="0.3">
      <c r="L2246" s="18" t="s">
        <v>1598</v>
      </c>
      <c r="M2246" s="23" t="s">
        <v>72</v>
      </c>
    </row>
    <row r="2247" spans="12:13" x14ac:dyDescent="0.3">
      <c r="L2247" s="19" t="s">
        <v>1541</v>
      </c>
      <c r="M2247" s="24" t="s">
        <v>72</v>
      </c>
    </row>
    <row r="2248" spans="12:13" x14ac:dyDescent="0.3">
      <c r="L2248" s="18" t="s">
        <v>1599</v>
      </c>
      <c r="M2248" s="23" t="s">
        <v>72</v>
      </c>
    </row>
    <row r="2249" spans="12:13" x14ac:dyDescent="0.3">
      <c r="L2249" s="19" t="s">
        <v>1600</v>
      </c>
      <c r="M2249" s="24" t="s">
        <v>72</v>
      </c>
    </row>
    <row r="2250" spans="12:13" x14ac:dyDescent="0.3">
      <c r="L2250" s="18" t="s">
        <v>1601</v>
      </c>
      <c r="M2250" s="23" t="s">
        <v>72</v>
      </c>
    </row>
    <row r="2251" spans="12:13" x14ac:dyDescent="0.3">
      <c r="L2251" s="19" t="s">
        <v>492</v>
      </c>
      <c r="M2251" s="24" t="s">
        <v>72</v>
      </c>
    </row>
    <row r="2252" spans="12:13" x14ac:dyDescent="0.3">
      <c r="L2252" s="18" t="s">
        <v>1602</v>
      </c>
      <c r="M2252" s="23" t="s">
        <v>72</v>
      </c>
    </row>
    <row r="2253" spans="12:13" x14ac:dyDescent="0.3">
      <c r="L2253" s="19" t="s">
        <v>208</v>
      </c>
      <c r="M2253" s="24" t="s">
        <v>72</v>
      </c>
    </row>
    <row r="2254" spans="12:13" x14ac:dyDescent="0.3">
      <c r="L2254" s="18" t="s">
        <v>1603</v>
      </c>
      <c r="M2254" s="23" t="s">
        <v>72</v>
      </c>
    </row>
    <row r="2255" spans="12:13" x14ac:dyDescent="0.3">
      <c r="L2255" s="19" t="s">
        <v>1604</v>
      </c>
      <c r="M2255" s="24" t="s">
        <v>72</v>
      </c>
    </row>
    <row r="2256" spans="12:13" x14ac:dyDescent="0.3">
      <c r="L2256" s="18" t="s">
        <v>1251</v>
      </c>
      <c r="M2256" s="23" t="s">
        <v>72</v>
      </c>
    </row>
    <row r="2257" spans="12:13" x14ac:dyDescent="0.3">
      <c r="L2257" s="19" t="s">
        <v>1605</v>
      </c>
      <c r="M2257" s="24" t="s">
        <v>72</v>
      </c>
    </row>
    <row r="2258" spans="12:13" x14ac:dyDescent="0.3">
      <c r="L2258" s="18" t="s">
        <v>1606</v>
      </c>
      <c r="M2258" s="23" t="s">
        <v>72</v>
      </c>
    </row>
    <row r="2259" spans="12:13" x14ac:dyDescent="0.3">
      <c r="L2259" s="19" t="s">
        <v>1607</v>
      </c>
      <c r="M2259" s="24" t="s">
        <v>72</v>
      </c>
    </row>
    <row r="2260" spans="12:13" x14ac:dyDescent="0.3">
      <c r="L2260" s="18" t="s">
        <v>1608</v>
      </c>
      <c r="M2260" s="23" t="s">
        <v>72</v>
      </c>
    </row>
    <row r="2261" spans="12:13" x14ac:dyDescent="0.3">
      <c r="L2261" s="19" t="s">
        <v>691</v>
      </c>
      <c r="M2261" s="24" t="s">
        <v>72</v>
      </c>
    </row>
    <row r="2262" spans="12:13" x14ac:dyDescent="0.3">
      <c r="L2262" s="18" t="s">
        <v>319</v>
      </c>
      <c r="M2262" s="23" t="s">
        <v>72</v>
      </c>
    </row>
    <row r="2263" spans="12:13" x14ac:dyDescent="0.3">
      <c r="L2263" s="19" t="s">
        <v>322</v>
      </c>
      <c r="M2263" s="24" t="s">
        <v>72</v>
      </c>
    </row>
    <row r="2264" spans="12:13" x14ac:dyDescent="0.3">
      <c r="L2264" s="18" t="s">
        <v>693</v>
      </c>
      <c r="M2264" s="23" t="s">
        <v>72</v>
      </c>
    </row>
    <row r="2265" spans="12:13" x14ac:dyDescent="0.3">
      <c r="L2265" s="19" t="s">
        <v>1609</v>
      </c>
      <c r="M2265" s="24" t="s">
        <v>72</v>
      </c>
    </row>
    <row r="2266" spans="12:13" x14ac:dyDescent="0.3">
      <c r="L2266" s="18" t="s">
        <v>743</v>
      </c>
      <c r="M2266" s="23" t="s">
        <v>72</v>
      </c>
    </row>
    <row r="2267" spans="12:13" x14ac:dyDescent="0.3">
      <c r="L2267" s="19" t="s">
        <v>836</v>
      </c>
      <c r="M2267" s="24" t="s">
        <v>72</v>
      </c>
    </row>
    <row r="2268" spans="12:13" x14ac:dyDescent="0.3">
      <c r="L2268" s="18" t="s">
        <v>1387</v>
      </c>
      <c r="M2268" s="23" t="s">
        <v>72</v>
      </c>
    </row>
    <row r="2269" spans="12:13" x14ac:dyDescent="0.3">
      <c r="L2269" s="19" t="s">
        <v>230</v>
      </c>
      <c r="M2269" s="24" t="s">
        <v>72</v>
      </c>
    </row>
    <row r="2270" spans="12:13" x14ac:dyDescent="0.3">
      <c r="L2270" s="18" t="s">
        <v>1610</v>
      </c>
      <c r="M2270" s="23" t="s">
        <v>72</v>
      </c>
    </row>
    <row r="2271" spans="12:13" x14ac:dyDescent="0.3">
      <c r="L2271" s="19" t="s">
        <v>231</v>
      </c>
      <c r="M2271" s="24" t="s">
        <v>72</v>
      </c>
    </row>
    <row r="2272" spans="12:13" x14ac:dyDescent="0.3">
      <c r="L2272" s="18" t="s">
        <v>328</v>
      </c>
      <c r="M2272" s="23" t="s">
        <v>72</v>
      </c>
    </row>
    <row r="2273" spans="12:13" x14ac:dyDescent="0.3">
      <c r="L2273" s="19" t="s">
        <v>233</v>
      </c>
      <c r="M2273" s="24" t="s">
        <v>72</v>
      </c>
    </row>
    <row r="2274" spans="12:13" x14ac:dyDescent="0.3">
      <c r="L2274" s="18" t="s">
        <v>1611</v>
      </c>
      <c r="M2274" s="23" t="s">
        <v>72</v>
      </c>
    </row>
    <row r="2275" spans="12:13" x14ac:dyDescent="0.3">
      <c r="L2275" s="19" t="s">
        <v>1612</v>
      </c>
      <c r="M2275" s="24" t="s">
        <v>72</v>
      </c>
    </row>
    <row r="2276" spans="12:13" x14ac:dyDescent="0.3">
      <c r="L2276" s="18" t="s">
        <v>238</v>
      </c>
      <c r="M2276" s="23" t="s">
        <v>72</v>
      </c>
    </row>
    <row r="2277" spans="12:13" x14ac:dyDescent="0.3">
      <c r="L2277" s="19" t="s">
        <v>1613</v>
      </c>
      <c r="M2277" s="24" t="s">
        <v>72</v>
      </c>
    </row>
    <row r="2278" spans="12:13" x14ac:dyDescent="0.3">
      <c r="L2278" s="18" t="s">
        <v>1614</v>
      </c>
      <c r="M2278" s="23" t="s">
        <v>72</v>
      </c>
    </row>
    <row r="2279" spans="12:13" x14ac:dyDescent="0.3">
      <c r="L2279" s="19" t="s">
        <v>1310</v>
      </c>
      <c r="M2279" s="24" t="s">
        <v>72</v>
      </c>
    </row>
    <row r="2280" spans="12:13" x14ac:dyDescent="0.3">
      <c r="L2280" s="18" t="s">
        <v>241</v>
      </c>
      <c r="M2280" s="23" t="s">
        <v>72</v>
      </c>
    </row>
    <row r="2281" spans="12:13" x14ac:dyDescent="0.3">
      <c r="L2281" s="19" t="s">
        <v>1615</v>
      </c>
      <c r="M2281" s="24" t="s">
        <v>72</v>
      </c>
    </row>
    <row r="2282" spans="12:13" x14ac:dyDescent="0.3">
      <c r="L2282" s="18" t="s">
        <v>1616</v>
      </c>
      <c r="M2282" s="23" t="s">
        <v>72</v>
      </c>
    </row>
    <row r="2283" spans="12:13" x14ac:dyDescent="0.3">
      <c r="L2283" s="19" t="s">
        <v>1617</v>
      </c>
      <c r="M2283" s="24" t="s">
        <v>72</v>
      </c>
    </row>
    <row r="2284" spans="12:13" x14ac:dyDescent="0.3">
      <c r="L2284" s="18" t="s">
        <v>1618</v>
      </c>
      <c r="M2284" s="23" t="s">
        <v>72</v>
      </c>
    </row>
    <row r="2285" spans="12:13" x14ac:dyDescent="0.3">
      <c r="L2285" s="19" t="s">
        <v>1619</v>
      </c>
      <c r="M2285" s="24" t="s">
        <v>72</v>
      </c>
    </row>
    <row r="2286" spans="12:13" x14ac:dyDescent="0.3">
      <c r="L2286" s="18" t="s">
        <v>719</v>
      </c>
      <c r="M2286" s="23" t="s">
        <v>72</v>
      </c>
    </row>
    <row r="2287" spans="12:13" x14ac:dyDescent="0.3">
      <c r="L2287" s="19" t="s">
        <v>1620</v>
      </c>
      <c r="M2287" s="24" t="s">
        <v>72</v>
      </c>
    </row>
    <row r="2288" spans="12:13" x14ac:dyDescent="0.3">
      <c r="L2288" s="18" t="s">
        <v>251</v>
      </c>
      <c r="M2288" s="23" t="s">
        <v>72</v>
      </c>
    </row>
    <row r="2289" spans="12:13" x14ac:dyDescent="0.3">
      <c r="L2289" s="19" t="s">
        <v>252</v>
      </c>
      <c r="M2289" s="24" t="s">
        <v>72</v>
      </c>
    </row>
    <row r="2290" spans="12:13" x14ac:dyDescent="0.3">
      <c r="L2290" s="18" t="s">
        <v>1621</v>
      </c>
      <c r="M2290" s="23" t="s">
        <v>72</v>
      </c>
    </row>
    <row r="2291" spans="12:13" x14ac:dyDescent="0.3">
      <c r="L2291" s="19" t="s">
        <v>1451</v>
      </c>
      <c r="M2291" s="24" t="s">
        <v>72</v>
      </c>
    </row>
    <row r="2292" spans="12:13" x14ac:dyDescent="0.3">
      <c r="L2292" s="18" t="s">
        <v>1622</v>
      </c>
      <c r="M2292" s="23" t="s">
        <v>72</v>
      </c>
    </row>
    <row r="2293" spans="12:13" x14ac:dyDescent="0.3">
      <c r="L2293" s="19" t="s">
        <v>254</v>
      </c>
      <c r="M2293" s="24" t="s">
        <v>72</v>
      </c>
    </row>
    <row r="2294" spans="12:13" x14ac:dyDescent="0.3">
      <c r="L2294" s="18" t="s">
        <v>1623</v>
      </c>
      <c r="M2294" s="23" t="s">
        <v>72</v>
      </c>
    </row>
    <row r="2295" spans="12:13" x14ac:dyDescent="0.3">
      <c r="L2295" s="19" t="s">
        <v>256</v>
      </c>
      <c r="M2295" s="24" t="s">
        <v>72</v>
      </c>
    </row>
    <row r="2296" spans="12:13" x14ac:dyDescent="0.3">
      <c r="L2296" s="18" t="s">
        <v>1624</v>
      </c>
      <c r="M2296" s="23" t="s">
        <v>72</v>
      </c>
    </row>
    <row r="2297" spans="12:13" x14ac:dyDescent="0.3">
      <c r="L2297" s="19" t="s">
        <v>1625</v>
      </c>
      <c r="M2297" s="24" t="s">
        <v>72</v>
      </c>
    </row>
    <row r="2298" spans="12:13" x14ac:dyDescent="0.3">
      <c r="L2298" s="18" t="s">
        <v>1626</v>
      </c>
      <c r="M2298" s="23" t="s">
        <v>72</v>
      </c>
    </row>
    <row r="2299" spans="12:13" x14ac:dyDescent="0.3">
      <c r="L2299" s="19" t="s">
        <v>1017</v>
      </c>
      <c r="M2299" s="24" t="s">
        <v>72</v>
      </c>
    </row>
    <row r="2300" spans="12:13" x14ac:dyDescent="0.3">
      <c r="L2300" s="18" t="s">
        <v>769</v>
      </c>
      <c r="M2300" s="23" t="s">
        <v>72</v>
      </c>
    </row>
    <row r="2301" spans="12:13" x14ac:dyDescent="0.3">
      <c r="L2301" s="19" t="s">
        <v>1627</v>
      </c>
      <c r="M2301" s="24" t="s">
        <v>72</v>
      </c>
    </row>
    <row r="2302" spans="12:13" x14ac:dyDescent="0.3">
      <c r="L2302" s="18" t="s">
        <v>1403</v>
      </c>
      <c r="M2302" s="23" t="s">
        <v>72</v>
      </c>
    </row>
    <row r="2303" spans="12:13" x14ac:dyDescent="0.3">
      <c r="L2303" s="19" t="s">
        <v>361</v>
      </c>
      <c r="M2303" s="24" t="s">
        <v>72</v>
      </c>
    </row>
    <row r="2304" spans="12:13" x14ac:dyDescent="0.3">
      <c r="L2304" s="18" t="s">
        <v>1628</v>
      </c>
      <c r="M2304" s="23" t="s">
        <v>72</v>
      </c>
    </row>
    <row r="2305" spans="12:13" x14ac:dyDescent="0.3">
      <c r="L2305" s="19" t="s">
        <v>638</v>
      </c>
      <c r="M2305" s="24" t="s">
        <v>72</v>
      </c>
    </row>
    <row r="2306" spans="12:13" x14ac:dyDescent="0.3">
      <c r="L2306" s="18" t="s">
        <v>266</v>
      </c>
      <c r="M2306" s="23" t="s">
        <v>72</v>
      </c>
    </row>
    <row r="2307" spans="12:13" x14ac:dyDescent="0.3">
      <c r="L2307" s="19" t="s">
        <v>639</v>
      </c>
      <c r="M2307" s="24" t="s">
        <v>72</v>
      </c>
    </row>
    <row r="2308" spans="12:13" x14ac:dyDescent="0.3">
      <c r="L2308" s="18" t="s">
        <v>1629</v>
      </c>
      <c r="M2308" s="23" t="s">
        <v>72</v>
      </c>
    </row>
    <row r="2309" spans="12:13" x14ac:dyDescent="0.3">
      <c r="L2309" s="19" t="s">
        <v>1407</v>
      </c>
      <c r="M2309" s="24" t="s">
        <v>72</v>
      </c>
    </row>
    <row r="2310" spans="12:13" x14ac:dyDescent="0.3">
      <c r="L2310" s="18" t="s">
        <v>1019</v>
      </c>
      <c r="M2310" s="23" t="s">
        <v>72</v>
      </c>
    </row>
    <row r="2311" spans="12:13" x14ac:dyDescent="0.3">
      <c r="L2311" s="19" t="s">
        <v>1039</v>
      </c>
      <c r="M2311" s="24" t="s">
        <v>70</v>
      </c>
    </row>
    <row r="2312" spans="12:13" x14ac:dyDescent="0.3">
      <c r="L2312" s="18" t="s">
        <v>484</v>
      </c>
      <c r="M2312" s="23" t="s">
        <v>70</v>
      </c>
    </row>
    <row r="2313" spans="12:13" x14ac:dyDescent="0.3">
      <c r="L2313" s="19" t="s">
        <v>1630</v>
      </c>
      <c r="M2313" s="24" t="s">
        <v>70</v>
      </c>
    </row>
    <row r="2314" spans="12:13" x14ac:dyDescent="0.3">
      <c r="L2314" s="18" t="s">
        <v>1631</v>
      </c>
      <c r="M2314" s="23" t="s">
        <v>70</v>
      </c>
    </row>
    <row r="2315" spans="12:13" x14ac:dyDescent="0.3">
      <c r="L2315" s="19" t="s">
        <v>266</v>
      </c>
      <c r="M2315" s="24" t="s">
        <v>70</v>
      </c>
    </row>
    <row r="2316" spans="12:13" x14ac:dyDescent="0.3">
      <c r="L2316" s="18" t="s">
        <v>1632</v>
      </c>
      <c r="M2316" s="23" t="s">
        <v>69</v>
      </c>
    </row>
    <row r="2317" spans="12:13" x14ac:dyDescent="0.3">
      <c r="L2317" s="19" t="s">
        <v>1633</v>
      </c>
      <c r="M2317" s="24" t="s">
        <v>69</v>
      </c>
    </row>
    <row r="2318" spans="12:13" x14ac:dyDescent="0.3">
      <c r="L2318" s="18" t="s">
        <v>1634</v>
      </c>
      <c r="M2318" s="23" t="s">
        <v>69</v>
      </c>
    </row>
    <row r="2319" spans="12:13" x14ac:dyDescent="0.3">
      <c r="L2319" s="19" t="s">
        <v>824</v>
      </c>
      <c r="M2319" s="24" t="s">
        <v>69</v>
      </c>
    </row>
    <row r="2320" spans="12:13" x14ac:dyDescent="0.3">
      <c r="L2320" s="18" t="s">
        <v>1635</v>
      </c>
      <c r="M2320" s="23" t="s">
        <v>69</v>
      </c>
    </row>
    <row r="2321" spans="12:13" x14ac:dyDescent="0.3">
      <c r="L2321" s="19" t="s">
        <v>1636</v>
      </c>
      <c r="M2321" s="24" t="s">
        <v>69</v>
      </c>
    </row>
    <row r="2322" spans="12:13" x14ac:dyDescent="0.3">
      <c r="L2322" s="18" t="s">
        <v>1414</v>
      </c>
      <c r="M2322" s="23" t="s">
        <v>69</v>
      </c>
    </row>
    <row r="2323" spans="12:13" x14ac:dyDescent="0.3">
      <c r="L2323" s="19" t="s">
        <v>1637</v>
      </c>
      <c r="M2323" s="24" t="s">
        <v>69</v>
      </c>
    </row>
    <row r="2324" spans="12:13" x14ac:dyDescent="0.3">
      <c r="L2324" s="18" t="s">
        <v>209</v>
      </c>
      <c r="M2324" s="23" t="s">
        <v>69</v>
      </c>
    </row>
    <row r="2325" spans="12:13" x14ac:dyDescent="0.3">
      <c r="L2325" s="19" t="s">
        <v>1638</v>
      </c>
      <c r="M2325" s="24" t="s">
        <v>69</v>
      </c>
    </row>
    <row r="2326" spans="12:13" x14ac:dyDescent="0.3">
      <c r="L2326" s="18" t="s">
        <v>211</v>
      </c>
      <c r="M2326" s="23" t="s">
        <v>69</v>
      </c>
    </row>
    <row r="2327" spans="12:13" x14ac:dyDescent="0.3">
      <c r="L2327" s="19" t="s">
        <v>1606</v>
      </c>
      <c r="M2327" s="24" t="s">
        <v>69</v>
      </c>
    </row>
    <row r="2328" spans="12:13" x14ac:dyDescent="0.3">
      <c r="L2328" s="18" t="s">
        <v>1639</v>
      </c>
      <c r="M2328" s="23" t="s">
        <v>69</v>
      </c>
    </row>
    <row r="2329" spans="12:13" x14ac:dyDescent="0.3">
      <c r="L2329" s="19" t="s">
        <v>1640</v>
      </c>
      <c r="M2329" s="24" t="s">
        <v>69</v>
      </c>
    </row>
    <row r="2330" spans="12:13" x14ac:dyDescent="0.3">
      <c r="L2330" s="18" t="s">
        <v>1641</v>
      </c>
      <c r="M2330" s="23" t="s">
        <v>69</v>
      </c>
    </row>
    <row r="2331" spans="12:13" x14ac:dyDescent="0.3">
      <c r="L2331" s="19" t="s">
        <v>1642</v>
      </c>
      <c r="M2331" s="24" t="s">
        <v>69</v>
      </c>
    </row>
    <row r="2332" spans="12:13" x14ac:dyDescent="0.3">
      <c r="L2332" s="18" t="s">
        <v>1643</v>
      </c>
      <c r="M2332" s="23" t="s">
        <v>69</v>
      </c>
    </row>
    <row r="2333" spans="12:13" x14ac:dyDescent="0.3">
      <c r="L2333" s="19" t="s">
        <v>1027</v>
      </c>
      <c r="M2333" s="24" t="s">
        <v>69</v>
      </c>
    </row>
    <row r="2334" spans="12:13" x14ac:dyDescent="0.3">
      <c r="L2334" s="18" t="s">
        <v>1644</v>
      </c>
      <c r="M2334" s="23" t="s">
        <v>69</v>
      </c>
    </row>
    <row r="2335" spans="12:13" x14ac:dyDescent="0.3">
      <c r="L2335" s="19" t="s">
        <v>476</v>
      </c>
      <c r="M2335" s="24" t="s">
        <v>69</v>
      </c>
    </row>
    <row r="2336" spans="12:13" x14ac:dyDescent="0.3">
      <c r="L2336" s="18" t="s">
        <v>1645</v>
      </c>
      <c r="M2336" s="23" t="s">
        <v>69</v>
      </c>
    </row>
    <row r="2337" spans="12:13" x14ac:dyDescent="0.3">
      <c r="L2337" s="19" t="s">
        <v>1646</v>
      </c>
      <c r="M2337" s="24" t="s">
        <v>69</v>
      </c>
    </row>
    <row r="2338" spans="12:13" x14ac:dyDescent="0.3">
      <c r="L2338" s="18" t="s">
        <v>1647</v>
      </c>
      <c r="M2338" s="23" t="s">
        <v>69</v>
      </c>
    </row>
    <row r="2339" spans="12:13" x14ac:dyDescent="0.3">
      <c r="L2339" s="19" t="s">
        <v>844</v>
      </c>
      <c r="M2339" s="24" t="s">
        <v>69</v>
      </c>
    </row>
    <row r="2340" spans="12:13" x14ac:dyDescent="0.3">
      <c r="L2340" s="18" t="s">
        <v>1648</v>
      </c>
      <c r="M2340" s="23" t="s">
        <v>69</v>
      </c>
    </row>
    <row r="2341" spans="12:13" x14ac:dyDescent="0.3">
      <c r="L2341" s="19" t="s">
        <v>1649</v>
      </c>
      <c r="M2341" s="24" t="s">
        <v>69</v>
      </c>
    </row>
    <row r="2342" spans="12:13" x14ac:dyDescent="0.3">
      <c r="L2342" s="18" t="s">
        <v>595</v>
      </c>
      <c r="M2342" s="23" t="s">
        <v>69</v>
      </c>
    </row>
    <row r="2343" spans="12:13" x14ac:dyDescent="0.3">
      <c r="L2343" s="19" t="s">
        <v>1650</v>
      </c>
      <c r="M2343" s="24" t="s">
        <v>69</v>
      </c>
    </row>
    <row r="2344" spans="12:13" x14ac:dyDescent="0.3">
      <c r="L2344" s="18" t="s">
        <v>1310</v>
      </c>
      <c r="M2344" s="23" t="s">
        <v>69</v>
      </c>
    </row>
    <row r="2345" spans="12:13" x14ac:dyDescent="0.3">
      <c r="L2345" s="19" t="s">
        <v>600</v>
      </c>
      <c r="M2345" s="24" t="s">
        <v>69</v>
      </c>
    </row>
    <row r="2346" spans="12:13" x14ac:dyDescent="0.3">
      <c r="L2346" s="18" t="s">
        <v>242</v>
      </c>
      <c r="M2346" s="23" t="s">
        <v>69</v>
      </c>
    </row>
    <row r="2347" spans="12:13" x14ac:dyDescent="0.3">
      <c r="L2347" s="19" t="s">
        <v>1651</v>
      </c>
      <c r="M2347" s="24" t="s">
        <v>69</v>
      </c>
    </row>
    <row r="2348" spans="12:13" x14ac:dyDescent="0.3">
      <c r="L2348" s="18" t="s">
        <v>1652</v>
      </c>
      <c r="M2348" s="23" t="s">
        <v>69</v>
      </c>
    </row>
    <row r="2349" spans="12:13" x14ac:dyDescent="0.3">
      <c r="L2349" s="19" t="s">
        <v>248</v>
      </c>
      <c r="M2349" s="24" t="s">
        <v>69</v>
      </c>
    </row>
    <row r="2350" spans="12:13" x14ac:dyDescent="0.3">
      <c r="L2350" s="18" t="s">
        <v>1653</v>
      </c>
      <c r="M2350" s="23" t="s">
        <v>69</v>
      </c>
    </row>
    <row r="2351" spans="12:13" x14ac:dyDescent="0.3">
      <c r="L2351" s="19" t="s">
        <v>1654</v>
      </c>
      <c r="M2351" s="24" t="s">
        <v>69</v>
      </c>
    </row>
    <row r="2352" spans="12:13" x14ac:dyDescent="0.3">
      <c r="L2352" s="18" t="s">
        <v>609</v>
      </c>
      <c r="M2352" s="23" t="s">
        <v>69</v>
      </c>
    </row>
    <row r="2353" spans="12:13" x14ac:dyDescent="0.3">
      <c r="L2353" s="19" t="s">
        <v>1655</v>
      </c>
      <c r="M2353" s="24" t="s">
        <v>69</v>
      </c>
    </row>
    <row r="2354" spans="12:13" x14ac:dyDescent="0.3">
      <c r="L2354" s="18" t="s">
        <v>255</v>
      </c>
      <c r="M2354" s="23" t="s">
        <v>69</v>
      </c>
    </row>
    <row r="2355" spans="12:13" x14ac:dyDescent="0.3">
      <c r="L2355" s="19" t="s">
        <v>724</v>
      </c>
      <c r="M2355" s="24" t="s">
        <v>69</v>
      </c>
    </row>
    <row r="2356" spans="12:13" x14ac:dyDescent="0.3">
      <c r="L2356" s="18" t="s">
        <v>1656</v>
      </c>
      <c r="M2356" s="23" t="s">
        <v>69</v>
      </c>
    </row>
    <row r="2357" spans="12:13" x14ac:dyDescent="0.3">
      <c r="L2357" s="19" t="s">
        <v>1657</v>
      </c>
      <c r="M2357" s="24" t="s">
        <v>69</v>
      </c>
    </row>
    <row r="2358" spans="12:13" x14ac:dyDescent="0.3">
      <c r="L2358" s="18" t="s">
        <v>261</v>
      </c>
      <c r="M2358" s="23" t="s">
        <v>69</v>
      </c>
    </row>
    <row r="2359" spans="12:13" x14ac:dyDescent="0.3">
      <c r="L2359" s="19" t="s">
        <v>361</v>
      </c>
      <c r="M2359" s="24" t="s">
        <v>69</v>
      </c>
    </row>
    <row r="2360" spans="12:13" x14ac:dyDescent="0.3">
      <c r="L2360" s="18" t="s">
        <v>1658</v>
      </c>
      <c r="M2360" s="23" t="s">
        <v>69</v>
      </c>
    </row>
    <row r="2361" spans="12:13" x14ac:dyDescent="0.3">
      <c r="L2361" s="19" t="s">
        <v>1019</v>
      </c>
      <c r="M2361" s="24" t="s">
        <v>69</v>
      </c>
    </row>
    <row r="2362" spans="12:13" x14ac:dyDescent="0.3">
      <c r="L2362" s="18" t="s">
        <v>1659</v>
      </c>
      <c r="M2362" s="23" t="s">
        <v>68</v>
      </c>
    </row>
    <row r="2363" spans="12:13" x14ac:dyDescent="0.3">
      <c r="L2363" s="19" t="s">
        <v>1660</v>
      </c>
      <c r="M2363" s="24" t="s">
        <v>68</v>
      </c>
    </row>
    <row r="2364" spans="12:13" x14ac:dyDescent="0.3">
      <c r="L2364" s="18" t="s">
        <v>1661</v>
      </c>
      <c r="M2364" s="23" t="s">
        <v>68</v>
      </c>
    </row>
    <row r="2365" spans="12:13" x14ac:dyDescent="0.3">
      <c r="L2365" s="19" t="s">
        <v>1662</v>
      </c>
      <c r="M2365" s="24" t="s">
        <v>68</v>
      </c>
    </row>
    <row r="2366" spans="12:13" x14ac:dyDescent="0.3">
      <c r="L2366" s="18" t="s">
        <v>1663</v>
      </c>
      <c r="M2366" s="23" t="s">
        <v>68</v>
      </c>
    </row>
    <row r="2367" spans="12:13" x14ac:dyDescent="0.3">
      <c r="L2367" s="19" t="s">
        <v>686</v>
      </c>
      <c r="M2367" s="24" t="s">
        <v>68</v>
      </c>
    </row>
    <row r="2368" spans="12:13" x14ac:dyDescent="0.3">
      <c r="L2368" s="18" t="s">
        <v>1664</v>
      </c>
      <c r="M2368" s="23" t="s">
        <v>68</v>
      </c>
    </row>
    <row r="2369" spans="12:13" x14ac:dyDescent="0.3">
      <c r="L2369" s="19" t="s">
        <v>1289</v>
      </c>
      <c r="M2369" s="24" t="s">
        <v>68</v>
      </c>
    </row>
    <row r="2370" spans="12:13" x14ac:dyDescent="0.3">
      <c r="L2370" s="18" t="s">
        <v>369</v>
      </c>
      <c r="M2370" s="23" t="s">
        <v>68</v>
      </c>
    </row>
    <row r="2371" spans="12:13" x14ac:dyDescent="0.3">
      <c r="L2371" s="19" t="s">
        <v>903</v>
      </c>
      <c r="M2371" s="24" t="s">
        <v>68</v>
      </c>
    </row>
    <row r="2372" spans="12:13" x14ac:dyDescent="0.3">
      <c r="L2372" s="18" t="s">
        <v>1665</v>
      </c>
      <c r="M2372" s="23" t="s">
        <v>68</v>
      </c>
    </row>
    <row r="2373" spans="12:13" x14ac:dyDescent="0.3">
      <c r="L2373" s="19" t="s">
        <v>317</v>
      </c>
      <c r="M2373" s="24" t="s">
        <v>68</v>
      </c>
    </row>
    <row r="2374" spans="12:13" x14ac:dyDescent="0.3">
      <c r="L2374" s="18" t="s">
        <v>215</v>
      </c>
      <c r="M2374" s="23" t="s">
        <v>68</v>
      </c>
    </row>
    <row r="2375" spans="12:13" x14ac:dyDescent="0.3">
      <c r="L2375" s="19" t="s">
        <v>1666</v>
      </c>
      <c r="M2375" s="24" t="s">
        <v>68</v>
      </c>
    </row>
    <row r="2376" spans="12:13" x14ac:dyDescent="0.3">
      <c r="L2376" s="18" t="s">
        <v>1667</v>
      </c>
      <c r="M2376" s="23" t="s">
        <v>68</v>
      </c>
    </row>
    <row r="2377" spans="12:13" x14ac:dyDescent="0.3">
      <c r="L2377" s="19" t="s">
        <v>435</v>
      </c>
      <c r="M2377" s="24" t="s">
        <v>68</v>
      </c>
    </row>
    <row r="2378" spans="12:13" x14ac:dyDescent="0.3">
      <c r="L2378" s="18" t="s">
        <v>1668</v>
      </c>
      <c r="M2378" s="23" t="s">
        <v>68</v>
      </c>
    </row>
    <row r="2379" spans="12:13" x14ac:dyDescent="0.3">
      <c r="L2379" s="19" t="s">
        <v>1669</v>
      </c>
      <c r="M2379" s="24" t="s">
        <v>68</v>
      </c>
    </row>
    <row r="2380" spans="12:13" x14ac:dyDescent="0.3">
      <c r="L2380" s="18" t="s">
        <v>1295</v>
      </c>
      <c r="M2380" s="23" t="s">
        <v>68</v>
      </c>
    </row>
    <row r="2381" spans="12:13" x14ac:dyDescent="0.3">
      <c r="L2381" s="19" t="s">
        <v>1550</v>
      </c>
      <c r="M2381" s="24" t="s">
        <v>68</v>
      </c>
    </row>
    <row r="2382" spans="12:13" x14ac:dyDescent="0.3">
      <c r="L2382" s="18" t="s">
        <v>439</v>
      </c>
      <c r="M2382" s="23" t="s">
        <v>68</v>
      </c>
    </row>
    <row r="2383" spans="12:13" x14ac:dyDescent="0.3">
      <c r="L2383" s="19" t="s">
        <v>1670</v>
      </c>
      <c r="M2383" s="24" t="s">
        <v>68</v>
      </c>
    </row>
    <row r="2384" spans="12:13" x14ac:dyDescent="0.3">
      <c r="L2384" s="18" t="s">
        <v>1671</v>
      </c>
      <c r="M2384" s="23" t="s">
        <v>68</v>
      </c>
    </row>
    <row r="2385" spans="12:13" x14ac:dyDescent="0.3">
      <c r="L2385" s="19" t="s">
        <v>1672</v>
      </c>
      <c r="M2385" s="24" t="s">
        <v>68</v>
      </c>
    </row>
    <row r="2386" spans="12:13" x14ac:dyDescent="0.3">
      <c r="L2386" s="18" t="s">
        <v>330</v>
      </c>
      <c r="M2386" s="23" t="s">
        <v>68</v>
      </c>
    </row>
    <row r="2387" spans="12:13" x14ac:dyDescent="0.3">
      <c r="L2387" s="19" t="s">
        <v>1673</v>
      </c>
      <c r="M2387" s="24" t="s">
        <v>68</v>
      </c>
    </row>
    <row r="2388" spans="12:13" x14ac:dyDescent="0.3">
      <c r="L2388" s="18" t="s">
        <v>1674</v>
      </c>
      <c r="M2388" s="23" t="s">
        <v>68</v>
      </c>
    </row>
    <row r="2389" spans="12:13" x14ac:dyDescent="0.3">
      <c r="L2389" s="19" t="s">
        <v>1675</v>
      </c>
      <c r="M2389" s="24" t="s">
        <v>68</v>
      </c>
    </row>
    <row r="2390" spans="12:13" x14ac:dyDescent="0.3">
      <c r="L2390" s="18" t="s">
        <v>1676</v>
      </c>
      <c r="M2390" s="23" t="s">
        <v>68</v>
      </c>
    </row>
    <row r="2391" spans="12:13" x14ac:dyDescent="0.3">
      <c r="L2391" s="19" t="s">
        <v>1677</v>
      </c>
      <c r="M2391" s="24" t="s">
        <v>68</v>
      </c>
    </row>
    <row r="2392" spans="12:13" x14ac:dyDescent="0.3">
      <c r="L2392" s="18" t="s">
        <v>1363</v>
      </c>
      <c r="M2392" s="23" t="s">
        <v>68</v>
      </c>
    </row>
    <row r="2393" spans="12:13" x14ac:dyDescent="0.3">
      <c r="L2393" s="19" t="s">
        <v>1554</v>
      </c>
      <c r="M2393" s="24" t="s">
        <v>68</v>
      </c>
    </row>
    <row r="2394" spans="12:13" x14ac:dyDescent="0.3">
      <c r="L2394" s="18" t="s">
        <v>1678</v>
      </c>
      <c r="M2394" s="23" t="s">
        <v>68</v>
      </c>
    </row>
    <row r="2395" spans="12:13" x14ac:dyDescent="0.3">
      <c r="L2395" s="19" t="s">
        <v>1442</v>
      </c>
      <c r="M2395" s="24" t="s">
        <v>68</v>
      </c>
    </row>
    <row r="2396" spans="12:13" x14ac:dyDescent="0.3">
      <c r="L2396" s="18" t="s">
        <v>237</v>
      </c>
      <c r="M2396" s="23" t="s">
        <v>68</v>
      </c>
    </row>
    <row r="2397" spans="12:13" x14ac:dyDescent="0.3">
      <c r="L2397" s="19" t="s">
        <v>1679</v>
      </c>
      <c r="M2397" s="24" t="s">
        <v>68</v>
      </c>
    </row>
    <row r="2398" spans="12:13" x14ac:dyDescent="0.3">
      <c r="L2398" s="18" t="s">
        <v>598</v>
      </c>
      <c r="M2398" s="23" t="s">
        <v>68</v>
      </c>
    </row>
    <row r="2399" spans="12:13" x14ac:dyDescent="0.3">
      <c r="L2399" s="19" t="s">
        <v>1680</v>
      </c>
      <c r="M2399" s="24" t="s">
        <v>68</v>
      </c>
    </row>
    <row r="2400" spans="12:13" x14ac:dyDescent="0.3">
      <c r="L2400" s="18" t="s">
        <v>382</v>
      </c>
      <c r="M2400" s="23" t="s">
        <v>68</v>
      </c>
    </row>
    <row r="2401" spans="12:13" x14ac:dyDescent="0.3">
      <c r="L2401" s="19" t="s">
        <v>241</v>
      </c>
      <c r="M2401" s="24" t="s">
        <v>68</v>
      </c>
    </row>
    <row r="2402" spans="12:13" x14ac:dyDescent="0.3">
      <c r="L2402" s="18" t="s">
        <v>338</v>
      </c>
      <c r="M2402" s="23" t="s">
        <v>68</v>
      </c>
    </row>
    <row r="2403" spans="12:13" x14ac:dyDescent="0.3">
      <c r="L2403" s="19" t="s">
        <v>1681</v>
      </c>
      <c r="M2403" s="24" t="s">
        <v>68</v>
      </c>
    </row>
    <row r="2404" spans="12:13" x14ac:dyDescent="0.3">
      <c r="L2404" s="18" t="s">
        <v>1682</v>
      </c>
      <c r="M2404" s="23" t="s">
        <v>68</v>
      </c>
    </row>
    <row r="2405" spans="12:13" x14ac:dyDescent="0.3">
      <c r="L2405" s="19" t="s">
        <v>855</v>
      </c>
      <c r="M2405" s="24" t="s">
        <v>68</v>
      </c>
    </row>
    <row r="2406" spans="12:13" x14ac:dyDescent="0.3">
      <c r="L2406" s="18" t="s">
        <v>249</v>
      </c>
      <c r="M2406" s="23" t="s">
        <v>68</v>
      </c>
    </row>
    <row r="2407" spans="12:13" x14ac:dyDescent="0.3">
      <c r="L2407" s="19" t="s">
        <v>856</v>
      </c>
      <c r="M2407" s="24" t="s">
        <v>68</v>
      </c>
    </row>
    <row r="2408" spans="12:13" x14ac:dyDescent="0.3">
      <c r="L2408" s="18" t="s">
        <v>1683</v>
      </c>
      <c r="M2408" s="23" t="s">
        <v>68</v>
      </c>
    </row>
    <row r="2409" spans="12:13" x14ac:dyDescent="0.3">
      <c r="L2409" s="19" t="s">
        <v>1684</v>
      </c>
      <c r="M2409" s="24" t="s">
        <v>68</v>
      </c>
    </row>
    <row r="2410" spans="12:13" x14ac:dyDescent="0.3">
      <c r="L2410" s="18" t="s">
        <v>1685</v>
      </c>
      <c r="M2410" s="23" t="s">
        <v>68</v>
      </c>
    </row>
    <row r="2411" spans="12:13" x14ac:dyDescent="0.3">
      <c r="L2411" s="19" t="s">
        <v>1686</v>
      </c>
      <c r="M2411" s="24" t="s">
        <v>68</v>
      </c>
    </row>
    <row r="2412" spans="12:13" x14ac:dyDescent="0.3">
      <c r="L2412" s="18" t="s">
        <v>1147</v>
      </c>
      <c r="M2412" s="23" t="s">
        <v>68</v>
      </c>
    </row>
    <row r="2413" spans="12:13" x14ac:dyDescent="0.3">
      <c r="L2413" s="19" t="s">
        <v>1317</v>
      </c>
      <c r="M2413" s="24" t="s">
        <v>68</v>
      </c>
    </row>
    <row r="2414" spans="12:13" x14ac:dyDescent="0.3">
      <c r="L2414" s="18" t="s">
        <v>1624</v>
      </c>
      <c r="M2414" s="23" t="s">
        <v>68</v>
      </c>
    </row>
    <row r="2415" spans="12:13" x14ac:dyDescent="0.3">
      <c r="L2415" s="19" t="s">
        <v>1687</v>
      </c>
      <c r="M2415" s="24" t="s">
        <v>68</v>
      </c>
    </row>
    <row r="2416" spans="12:13" x14ac:dyDescent="0.3">
      <c r="L2416" s="18" t="s">
        <v>1688</v>
      </c>
      <c r="M2416" s="23" t="s">
        <v>68</v>
      </c>
    </row>
    <row r="2417" spans="12:13" x14ac:dyDescent="0.3">
      <c r="L2417" s="19" t="s">
        <v>1242</v>
      </c>
      <c r="M2417" s="24" t="s">
        <v>68</v>
      </c>
    </row>
    <row r="2418" spans="12:13" x14ac:dyDescent="0.3">
      <c r="L2418" s="18" t="s">
        <v>1689</v>
      </c>
      <c r="M2418" s="23" t="s">
        <v>68</v>
      </c>
    </row>
    <row r="2419" spans="12:13" x14ac:dyDescent="0.3">
      <c r="L2419" s="19" t="s">
        <v>1690</v>
      </c>
      <c r="M2419" s="24" t="s">
        <v>68</v>
      </c>
    </row>
    <row r="2420" spans="12:13" x14ac:dyDescent="0.3">
      <c r="L2420" s="18" t="s">
        <v>1691</v>
      </c>
      <c r="M2420" s="23" t="s">
        <v>68</v>
      </c>
    </row>
    <row r="2421" spans="12:13" x14ac:dyDescent="0.3">
      <c r="L2421" s="19" t="s">
        <v>942</v>
      </c>
      <c r="M2421" s="24" t="s">
        <v>68</v>
      </c>
    </row>
    <row r="2422" spans="12:13" x14ac:dyDescent="0.3">
      <c r="L2422" s="18" t="s">
        <v>1692</v>
      </c>
      <c r="M2422" s="23" t="s">
        <v>68</v>
      </c>
    </row>
    <row r="2423" spans="12:13" x14ac:dyDescent="0.3">
      <c r="L2423" s="19" t="s">
        <v>634</v>
      </c>
      <c r="M2423" s="24" t="s">
        <v>68</v>
      </c>
    </row>
    <row r="2424" spans="12:13" x14ac:dyDescent="0.3">
      <c r="L2424" s="18" t="s">
        <v>361</v>
      </c>
      <c r="M2424" s="23" t="s">
        <v>68</v>
      </c>
    </row>
    <row r="2425" spans="12:13" x14ac:dyDescent="0.3">
      <c r="L2425" s="19" t="s">
        <v>1693</v>
      </c>
      <c r="M2425" s="24" t="s">
        <v>68</v>
      </c>
    </row>
    <row r="2426" spans="12:13" x14ac:dyDescent="0.3">
      <c r="L2426" s="18" t="s">
        <v>1694</v>
      </c>
      <c r="M2426" s="23" t="s">
        <v>68</v>
      </c>
    </row>
    <row r="2427" spans="12:13" x14ac:dyDescent="0.3">
      <c r="L2427" s="19" t="s">
        <v>1695</v>
      </c>
      <c r="M2427" s="24" t="s">
        <v>68</v>
      </c>
    </row>
    <row r="2428" spans="12:13" x14ac:dyDescent="0.3">
      <c r="L2428" s="18" t="s">
        <v>824</v>
      </c>
      <c r="M2428" s="23" t="s">
        <v>67</v>
      </c>
    </row>
    <row r="2429" spans="12:13" x14ac:dyDescent="0.3">
      <c r="L2429" s="19" t="s">
        <v>1599</v>
      </c>
      <c r="M2429" s="24" t="s">
        <v>67</v>
      </c>
    </row>
    <row r="2430" spans="12:13" x14ac:dyDescent="0.3">
      <c r="L2430" s="18" t="s">
        <v>312</v>
      </c>
      <c r="M2430" s="23" t="s">
        <v>67</v>
      </c>
    </row>
    <row r="2431" spans="12:13" x14ac:dyDescent="0.3">
      <c r="L2431" s="19" t="s">
        <v>1696</v>
      </c>
      <c r="M2431" s="24" t="s">
        <v>67</v>
      </c>
    </row>
    <row r="2432" spans="12:13" x14ac:dyDescent="0.3">
      <c r="L2432" s="18" t="s">
        <v>206</v>
      </c>
      <c r="M2432" s="23" t="s">
        <v>67</v>
      </c>
    </row>
    <row r="2433" spans="12:13" x14ac:dyDescent="0.3">
      <c r="L2433" s="19" t="s">
        <v>314</v>
      </c>
      <c r="M2433" s="24" t="s">
        <v>67</v>
      </c>
    </row>
    <row r="2434" spans="12:13" x14ac:dyDescent="0.3">
      <c r="L2434" s="18" t="s">
        <v>903</v>
      </c>
      <c r="M2434" s="23" t="s">
        <v>67</v>
      </c>
    </row>
    <row r="2435" spans="12:13" x14ac:dyDescent="0.3">
      <c r="L2435" s="19" t="s">
        <v>1697</v>
      </c>
      <c r="M2435" s="24" t="s">
        <v>67</v>
      </c>
    </row>
    <row r="2436" spans="12:13" x14ac:dyDescent="0.3">
      <c r="L2436" s="18" t="s">
        <v>315</v>
      </c>
      <c r="M2436" s="23" t="s">
        <v>67</v>
      </c>
    </row>
    <row r="2437" spans="12:13" x14ac:dyDescent="0.3">
      <c r="L2437" s="19" t="s">
        <v>905</v>
      </c>
      <c r="M2437" s="24" t="s">
        <v>67</v>
      </c>
    </row>
    <row r="2438" spans="12:13" x14ac:dyDescent="0.3">
      <c r="L2438" s="18" t="s">
        <v>1698</v>
      </c>
      <c r="M2438" s="23" t="s">
        <v>67</v>
      </c>
    </row>
    <row r="2439" spans="12:13" x14ac:dyDescent="0.3">
      <c r="L2439" s="19" t="s">
        <v>1606</v>
      </c>
      <c r="M2439" s="24" t="s">
        <v>67</v>
      </c>
    </row>
    <row r="2440" spans="12:13" x14ac:dyDescent="0.3">
      <c r="L2440" s="18" t="s">
        <v>1174</v>
      </c>
      <c r="M2440" s="23" t="s">
        <v>67</v>
      </c>
    </row>
    <row r="2441" spans="12:13" x14ac:dyDescent="0.3">
      <c r="L2441" s="19" t="s">
        <v>215</v>
      </c>
      <c r="M2441" s="24" t="s">
        <v>67</v>
      </c>
    </row>
    <row r="2442" spans="12:13" x14ac:dyDescent="0.3">
      <c r="L2442" s="18" t="s">
        <v>1699</v>
      </c>
      <c r="M2442" s="23" t="s">
        <v>67</v>
      </c>
    </row>
    <row r="2443" spans="12:13" x14ac:dyDescent="0.3">
      <c r="L2443" s="19" t="s">
        <v>217</v>
      </c>
      <c r="M2443" s="24" t="s">
        <v>67</v>
      </c>
    </row>
    <row r="2444" spans="12:13" x14ac:dyDescent="0.3">
      <c r="L2444" s="18" t="s">
        <v>1700</v>
      </c>
      <c r="M2444" s="23" t="s">
        <v>67</v>
      </c>
    </row>
    <row r="2445" spans="12:13" x14ac:dyDescent="0.3">
      <c r="L2445" s="19" t="s">
        <v>693</v>
      </c>
      <c r="M2445" s="24" t="s">
        <v>67</v>
      </c>
    </row>
    <row r="2446" spans="12:13" x14ac:dyDescent="0.3">
      <c r="L2446" s="18" t="s">
        <v>1428</v>
      </c>
      <c r="M2446" s="23" t="s">
        <v>67</v>
      </c>
    </row>
    <row r="2447" spans="12:13" x14ac:dyDescent="0.3">
      <c r="L2447" s="19" t="s">
        <v>568</v>
      </c>
      <c r="M2447" s="24" t="s">
        <v>67</v>
      </c>
    </row>
    <row r="2448" spans="12:13" x14ac:dyDescent="0.3">
      <c r="L2448" s="18" t="s">
        <v>226</v>
      </c>
      <c r="M2448" s="23" t="s">
        <v>67</v>
      </c>
    </row>
    <row r="2449" spans="12:13" x14ac:dyDescent="0.3">
      <c r="L2449" s="19" t="s">
        <v>1701</v>
      </c>
      <c r="M2449" s="24" t="s">
        <v>67</v>
      </c>
    </row>
    <row r="2450" spans="12:13" x14ac:dyDescent="0.3">
      <c r="L2450" s="18" t="s">
        <v>1702</v>
      </c>
      <c r="M2450" s="23" t="s">
        <v>67</v>
      </c>
    </row>
    <row r="2451" spans="12:13" x14ac:dyDescent="0.3">
      <c r="L2451" s="19" t="s">
        <v>230</v>
      </c>
      <c r="M2451" s="24" t="s">
        <v>67</v>
      </c>
    </row>
    <row r="2452" spans="12:13" x14ac:dyDescent="0.3">
      <c r="L2452" s="18" t="s">
        <v>1703</v>
      </c>
      <c r="M2452" s="23" t="s">
        <v>67</v>
      </c>
    </row>
    <row r="2453" spans="12:13" x14ac:dyDescent="0.3">
      <c r="L2453" s="19" t="s">
        <v>231</v>
      </c>
      <c r="M2453" s="24" t="s">
        <v>67</v>
      </c>
    </row>
    <row r="2454" spans="12:13" x14ac:dyDescent="0.3">
      <c r="L2454" s="18" t="s">
        <v>747</v>
      </c>
      <c r="M2454" s="23" t="s">
        <v>67</v>
      </c>
    </row>
    <row r="2455" spans="12:13" x14ac:dyDescent="0.3">
      <c r="L2455" s="19" t="s">
        <v>1704</v>
      </c>
      <c r="M2455" s="24" t="s">
        <v>67</v>
      </c>
    </row>
    <row r="2456" spans="12:13" x14ac:dyDescent="0.3">
      <c r="L2456" s="18" t="s">
        <v>1705</v>
      </c>
      <c r="M2456" s="23" t="s">
        <v>67</v>
      </c>
    </row>
    <row r="2457" spans="12:13" x14ac:dyDescent="0.3">
      <c r="L2457" s="19" t="s">
        <v>233</v>
      </c>
      <c r="M2457" s="24" t="s">
        <v>67</v>
      </c>
    </row>
    <row r="2458" spans="12:13" x14ac:dyDescent="0.3">
      <c r="L2458" s="18" t="s">
        <v>700</v>
      </c>
      <c r="M2458" s="23" t="s">
        <v>67</v>
      </c>
    </row>
    <row r="2459" spans="12:13" x14ac:dyDescent="0.3">
      <c r="L2459" s="19" t="s">
        <v>1706</v>
      </c>
      <c r="M2459" s="24" t="s">
        <v>67</v>
      </c>
    </row>
    <row r="2460" spans="12:13" x14ac:dyDescent="0.3">
      <c r="L2460" s="18" t="s">
        <v>507</v>
      </c>
      <c r="M2460" s="23" t="s">
        <v>67</v>
      </c>
    </row>
    <row r="2461" spans="12:13" x14ac:dyDescent="0.3">
      <c r="L2461" s="19" t="s">
        <v>589</v>
      </c>
      <c r="M2461" s="24" t="s">
        <v>67</v>
      </c>
    </row>
    <row r="2462" spans="12:13" x14ac:dyDescent="0.3">
      <c r="L2462" s="18" t="s">
        <v>1707</v>
      </c>
      <c r="M2462" s="23" t="s">
        <v>67</v>
      </c>
    </row>
    <row r="2463" spans="12:13" x14ac:dyDescent="0.3">
      <c r="L2463" s="19" t="s">
        <v>701</v>
      </c>
      <c r="M2463" s="24" t="s">
        <v>67</v>
      </c>
    </row>
    <row r="2464" spans="12:13" x14ac:dyDescent="0.3">
      <c r="L2464" s="18" t="s">
        <v>1708</v>
      </c>
      <c r="M2464" s="23" t="s">
        <v>67</v>
      </c>
    </row>
    <row r="2465" spans="12:13" x14ac:dyDescent="0.3">
      <c r="L2465" s="19" t="s">
        <v>1439</v>
      </c>
      <c r="M2465" s="24" t="s">
        <v>67</v>
      </c>
    </row>
    <row r="2466" spans="12:13" x14ac:dyDescent="0.3">
      <c r="L2466" s="18" t="s">
        <v>702</v>
      </c>
      <c r="M2466" s="23" t="s">
        <v>67</v>
      </c>
    </row>
    <row r="2467" spans="12:13" x14ac:dyDescent="0.3">
      <c r="L2467" s="19" t="s">
        <v>235</v>
      </c>
      <c r="M2467" s="24" t="s">
        <v>67</v>
      </c>
    </row>
    <row r="2468" spans="12:13" x14ac:dyDescent="0.3">
      <c r="L2468" s="18" t="s">
        <v>917</v>
      </c>
      <c r="M2468" s="23" t="s">
        <v>67</v>
      </c>
    </row>
    <row r="2469" spans="12:13" x14ac:dyDescent="0.3">
      <c r="L2469" s="19" t="s">
        <v>236</v>
      </c>
      <c r="M2469" s="24" t="s">
        <v>67</v>
      </c>
    </row>
    <row r="2470" spans="12:13" x14ac:dyDescent="0.3">
      <c r="L2470" s="18" t="s">
        <v>1182</v>
      </c>
      <c r="M2470" s="23" t="s">
        <v>67</v>
      </c>
    </row>
    <row r="2471" spans="12:13" x14ac:dyDescent="0.3">
      <c r="L2471" s="19" t="s">
        <v>237</v>
      </c>
      <c r="M2471" s="24" t="s">
        <v>67</v>
      </c>
    </row>
    <row r="2472" spans="12:13" x14ac:dyDescent="0.3">
      <c r="L2472" s="18" t="s">
        <v>238</v>
      </c>
      <c r="M2472" s="23" t="s">
        <v>67</v>
      </c>
    </row>
    <row r="2473" spans="12:13" x14ac:dyDescent="0.3">
      <c r="L2473" s="19" t="s">
        <v>336</v>
      </c>
      <c r="M2473" s="24" t="s">
        <v>67</v>
      </c>
    </row>
    <row r="2474" spans="12:13" x14ac:dyDescent="0.3">
      <c r="L2474" s="18" t="s">
        <v>709</v>
      </c>
      <c r="M2474" s="23" t="s">
        <v>67</v>
      </c>
    </row>
    <row r="2475" spans="12:13" x14ac:dyDescent="0.3">
      <c r="L2475" s="19" t="s">
        <v>382</v>
      </c>
      <c r="M2475" s="24" t="s">
        <v>67</v>
      </c>
    </row>
    <row r="2476" spans="12:13" x14ac:dyDescent="0.3">
      <c r="L2476" s="18" t="s">
        <v>240</v>
      </c>
      <c r="M2476" s="23" t="s">
        <v>67</v>
      </c>
    </row>
    <row r="2477" spans="12:13" x14ac:dyDescent="0.3">
      <c r="L2477" s="19" t="s">
        <v>241</v>
      </c>
      <c r="M2477" s="24" t="s">
        <v>67</v>
      </c>
    </row>
    <row r="2478" spans="12:13" x14ac:dyDescent="0.3">
      <c r="L2478" s="18" t="s">
        <v>673</v>
      </c>
      <c r="M2478" s="23" t="s">
        <v>67</v>
      </c>
    </row>
    <row r="2479" spans="12:13" x14ac:dyDescent="0.3">
      <c r="L2479" s="19" t="s">
        <v>338</v>
      </c>
      <c r="M2479" s="24" t="s">
        <v>67</v>
      </c>
    </row>
    <row r="2480" spans="12:13" x14ac:dyDescent="0.3">
      <c r="L2480" s="18" t="s">
        <v>1709</v>
      </c>
      <c r="M2480" s="23" t="s">
        <v>67</v>
      </c>
    </row>
    <row r="2481" spans="12:13" x14ac:dyDescent="0.3">
      <c r="L2481" s="19" t="s">
        <v>1710</v>
      </c>
      <c r="M2481" s="24" t="s">
        <v>67</v>
      </c>
    </row>
    <row r="2482" spans="12:13" x14ac:dyDescent="0.3">
      <c r="L2482" s="18" t="s">
        <v>1711</v>
      </c>
      <c r="M2482" s="23" t="s">
        <v>67</v>
      </c>
    </row>
    <row r="2483" spans="12:13" x14ac:dyDescent="0.3">
      <c r="L2483" s="19" t="s">
        <v>245</v>
      </c>
      <c r="M2483" s="24" t="s">
        <v>67</v>
      </c>
    </row>
    <row r="2484" spans="12:13" x14ac:dyDescent="0.3">
      <c r="L2484" s="18" t="s">
        <v>246</v>
      </c>
      <c r="M2484" s="23" t="s">
        <v>67</v>
      </c>
    </row>
    <row r="2485" spans="12:13" x14ac:dyDescent="0.3">
      <c r="L2485" s="19" t="s">
        <v>248</v>
      </c>
      <c r="M2485" s="24" t="s">
        <v>67</v>
      </c>
    </row>
    <row r="2486" spans="12:13" x14ac:dyDescent="0.3">
      <c r="L2486" s="18" t="s">
        <v>249</v>
      </c>
      <c r="M2486" s="23" t="s">
        <v>67</v>
      </c>
    </row>
    <row r="2487" spans="12:13" x14ac:dyDescent="0.3">
      <c r="L2487" s="19" t="s">
        <v>1712</v>
      </c>
      <c r="M2487" s="24" t="s">
        <v>67</v>
      </c>
    </row>
    <row r="2488" spans="12:13" x14ac:dyDescent="0.3">
      <c r="L2488" s="18" t="s">
        <v>1524</v>
      </c>
      <c r="M2488" s="23" t="s">
        <v>67</v>
      </c>
    </row>
    <row r="2489" spans="12:13" x14ac:dyDescent="0.3">
      <c r="L2489" s="19" t="s">
        <v>251</v>
      </c>
      <c r="M2489" s="24" t="s">
        <v>67</v>
      </c>
    </row>
    <row r="2490" spans="12:13" x14ac:dyDescent="0.3">
      <c r="L2490" s="18" t="s">
        <v>252</v>
      </c>
      <c r="M2490" s="23" t="s">
        <v>67</v>
      </c>
    </row>
    <row r="2491" spans="12:13" x14ac:dyDescent="0.3">
      <c r="L2491" s="19" t="s">
        <v>1448</v>
      </c>
      <c r="M2491" s="24" t="s">
        <v>67</v>
      </c>
    </row>
    <row r="2492" spans="12:13" x14ac:dyDescent="0.3">
      <c r="L2492" s="18" t="s">
        <v>253</v>
      </c>
      <c r="M2492" s="23" t="s">
        <v>67</v>
      </c>
    </row>
    <row r="2493" spans="12:13" x14ac:dyDescent="0.3">
      <c r="L2493" s="19" t="s">
        <v>1713</v>
      </c>
      <c r="M2493" s="24" t="s">
        <v>67</v>
      </c>
    </row>
    <row r="2494" spans="12:13" x14ac:dyDescent="0.3">
      <c r="L2494" s="18" t="s">
        <v>1714</v>
      </c>
      <c r="M2494" s="23" t="s">
        <v>67</v>
      </c>
    </row>
    <row r="2495" spans="12:13" x14ac:dyDescent="0.3">
      <c r="L2495" s="19" t="s">
        <v>254</v>
      </c>
      <c r="M2495" s="24" t="s">
        <v>67</v>
      </c>
    </row>
    <row r="2496" spans="12:13" x14ac:dyDescent="0.3">
      <c r="L2496" s="18" t="s">
        <v>1715</v>
      </c>
      <c r="M2496" s="23" t="s">
        <v>67</v>
      </c>
    </row>
    <row r="2497" spans="12:13" x14ac:dyDescent="0.3">
      <c r="L2497" s="19" t="s">
        <v>349</v>
      </c>
      <c r="M2497" s="24" t="s">
        <v>67</v>
      </c>
    </row>
    <row r="2498" spans="12:13" x14ac:dyDescent="0.3">
      <c r="L2498" s="18" t="s">
        <v>527</v>
      </c>
      <c r="M2498" s="23" t="s">
        <v>67</v>
      </c>
    </row>
    <row r="2499" spans="12:13" x14ac:dyDescent="0.3">
      <c r="L2499" s="19" t="s">
        <v>1716</v>
      </c>
      <c r="M2499" s="24" t="s">
        <v>67</v>
      </c>
    </row>
    <row r="2500" spans="12:13" x14ac:dyDescent="0.3">
      <c r="L2500" s="18" t="s">
        <v>1717</v>
      </c>
      <c r="M2500" s="23" t="s">
        <v>67</v>
      </c>
    </row>
    <row r="2501" spans="12:13" x14ac:dyDescent="0.3">
      <c r="L2501" s="19" t="s">
        <v>938</v>
      </c>
      <c r="M2501" s="24" t="s">
        <v>67</v>
      </c>
    </row>
    <row r="2502" spans="12:13" x14ac:dyDescent="0.3">
      <c r="L2502" s="18" t="s">
        <v>1460</v>
      </c>
      <c r="M2502" s="23" t="s">
        <v>67</v>
      </c>
    </row>
    <row r="2503" spans="12:13" x14ac:dyDescent="0.3">
      <c r="L2503" s="19" t="s">
        <v>355</v>
      </c>
      <c r="M2503" s="24" t="s">
        <v>67</v>
      </c>
    </row>
    <row r="2504" spans="12:13" x14ac:dyDescent="0.3">
      <c r="L2504" s="18" t="s">
        <v>1718</v>
      </c>
      <c r="M2504" s="23" t="s">
        <v>67</v>
      </c>
    </row>
    <row r="2505" spans="12:13" x14ac:dyDescent="0.3">
      <c r="L2505" s="19" t="s">
        <v>358</v>
      </c>
      <c r="M2505" s="24" t="s">
        <v>67</v>
      </c>
    </row>
    <row r="2506" spans="12:13" x14ac:dyDescent="0.3">
      <c r="L2506" s="18" t="s">
        <v>260</v>
      </c>
      <c r="M2506" s="23" t="s">
        <v>67</v>
      </c>
    </row>
    <row r="2507" spans="12:13" x14ac:dyDescent="0.3">
      <c r="L2507" s="19" t="s">
        <v>879</v>
      </c>
      <c r="M2507" s="24" t="s">
        <v>67</v>
      </c>
    </row>
    <row r="2508" spans="12:13" x14ac:dyDescent="0.3">
      <c r="L2508" s="18" t="s">
        <v>622</v>
      </c>
      <c r="M2508" s="23" t="s">
        <v>67</v>
      </c>
    </row>
    <row r="2509" spans="12:13" x14ac:dyDescent="0.3">
      <c r="L2509" s="19" t="s">
        <v>769</v>
      </c>
      <c r="M2509" s="24" t="s">
        <v>67</v>
      </c>
    </row>
    <row r="2510" spans="12:13" x14ac:dyDescent="0.3">
      <c r="L2510" s="18" t="s">
        <v>883</v>
      </c>
      <c r="M2510" s="23" t="s">
        <v>67</v>
      </c>
    </row>
    <row r="2511" spans="12:13" x14ac:dyDescent="0.3">
      <c r="L2511" s="19" t="s">
        <v>772</v>
      </c>
      <c r="M2511" s="24" t="s">
        <v>67</v>
      </c>
    </row>
    <row r="2512" spans="12:13" x14ac:dyDescent="0.3">
      <c r="L2512" s="18" t="s">
        <v>1719</v>
      </c>
      <c r="M2512" s="23" t="s">
        <v>67</v>
      </c>
    </row>
    <row r="2513" spans="12:13" x14ac:dyDescent="0.3">
      <c r="L2513" s="19" t="s">
        <v>1720</v>
      </c>
      <c r="M2513" s="24" t="s">
        <v>67</v>
      </c>
    </row>
    <row r="2514" spans="12:13" x14ac:dyDescent="0.3">
      <c r="L2514" s="18" t="s">
        <v>361</v>
      </c>
      <c r="M2514" s="23" t="s">
        <v>67</v>
      </c>
    </row>
    <row r="2515" spans="12:13" x14ac:dyDescent="0.3">
      <c r="L2515" s="19" t="s">
        <v>362</v>
      </c>
      <c r="M2515" s="24" t="s">
        <v>67</v>
      </c>
    </row>
    <row r="2516" spans="12:13" x14ac:dyDescent="0.3">
      <c r="L2516" s="18" t="s">
        <v>638</v>
      </c>
      <c r="M2516" s="23" t="s">
        <v>67</v>
      </c>
    </row>
    <row r="2517" spans="12:13" x14ac:dyDescent="0.3">
      <c r="L2517" s="19" t="s">
        <v>266</v>
      </c>
      <c r="M2517" s="24" t="s">
        <v>67</v>
      </c>
    </row>
    <row r="2518" spans="12:13" x14ac:dyDescent="0.3">
      <c r="L2518" s="18" t="s">
        <v>639</v>
      </c>
      <c r="M2518" s="23" t="s">
        <v>67</v>
      </c>
    </row>
    <row r="2519" spans="12:13" x14ac:dyDescent="0.3">
      <c r="L2519" s="19" t="s">
        <v>1721</v>
      </c>
      <c r="M2519" s="24" t="s">
        <v>67</v>
      </c>
    </row>
    <row r="2520" spans="12:13" x14ac:dyDescent="0.3">
      <c r="L2520" s="18" t="s">
        <v>363</v>
      </c>
      <c r="M2520" s="23" t="s">
        <v>67</v>
      </c>
    </row>
    <row r="2521" spans="12:13" x14ac:dyDescent="0.3">
      <c r="L2521" s="19" t="s">
        <v>735</v>
      </c>
      <c r="M2521" s="24" t="s">
        <v>67</v>
      </c>
    </row>
    <row r="2522" spans="12:13" x14ac:dyDescent="0.3">
      <c r="L2522" s="18" t="s">
        <v>888</v>
      </c>
      <c r="M2522" s="23" t="s">
        <v>67</v>
      </c>
    </row>
    <row r="2523" spans="12:13" x14ac:dyDescent="0.3">
      <c r="L2523" s="19" t="s">
        <v>824</v>
      </c>
      <c r="M2523" s="24" t="s">
        <v>66</v>
      </c>
    </row>
    <row r="2524" spans="12:13" x14ac:dyDescent="0.3">
      <c r="L2524" s="18" t="s">
        <v>1722</v>
      </c>
      <c r="M2524" s="23" t="s">
        <v>66</v>
      </c>
    </row>
    <row r="2525" spans="12:13" x14ac:dyDescent="0.3">
      <c r="L2525" s="19" t="s">
        <v>1723</v>
      </c>
      <c r="M2525" s="24" t="s">
        <v>66</v>
      </c>
    </row>
    <row r="2526" spans="12:13" x14ac:dyDescent="0.3">
      <c r="L2526" s="18" t="s">
        <v>1724</v>
      </c>
      <c r="M2526" s="23" t="s">
        <v>66</v>
      </c>
    </row>
    <row r="2527" spans="12:13" x14ac:dyDescent="0.3">
      <c r="L2527" s="19" t="s">
        <v>1725</v>
      </c>
      <c r="M2527" s="24" t="s">
        <v>66</v>
      </c>
    </row>
    <row r="2528" spans="12:13" x14ac:dyDescent="0.3">
      <c r="L2528" s="18" t="s">
        <v>1598</v>
      </c>
      <c r="M2528" s="23" t="s">
        <v>66</v>
      </c>
    </row>
    <row r="2529" spans="12:13" x14ac:dyDescent="0.3">
      <c r="L2529" s="19" t="s">
        <v>1726</v>
      </c>
      <c r="M2529" s="24" t="s">
        <v>66</v>
      </c>
    </row>
    <row r="2530" spans="12:13" x14ac:dyDescent="0.3">
      <c r="L2530" s="18" t="s">
        <v>1727</v>
      </c>
      <c r="M2530" s="23" t="s">
        <v>66</v>
      </c>
    </row>
    <row r="2531" spans="12:13" x14ac:dyDescent="0.3">
      <c r="L2531" s="19" t="s">
        <v>1728</v>
      </c>
      <c r="M2531" s="24" t="s">
        <v>66</v>
      </c>
    </row>
    <row r="2532" spans="12:13" x14ac:dyDescent="0.3">
      <c r="L2532" s="18" t="s">
        <v>1729</v>
      </c>
      <c r="M2532" s="23" t="s">
        <v>66</v>
      </c>
    </row>
    <row r="2533" spans="12:13" x14ac:dyDescent="0.3">
      <c r="L2533" s="19" t="s">
        <v>1730</v>
      </c>
      <c r="M2533" s="24" t="s">
        <v>66</v>
      </c>
    </row>
    <row r="2534" spans="12:13" x14ac:dyDescent="0.3">
      <c r="L2534" s="18" t="s">
        <v>1731</v>
      </c>
      <c r="M2534" s="23" t="s">
        <v>66</v>
      </c>
    </row>
    <row r="2535" spans="12:13" x14ac:dyDescent="0.3">
      <c r="L2535" s="19" t="s">
        <v>1732</v>
      </c>
      <c r="M2535" s="24" t="s">
        <v>66</v>
      </c>
    </row>
    <row r="2536" spans="12:13" x14ac:dyDescent="0.3">
      <c r="L2536" s="18" t="s">
        <v>894</v>
      </c>
      <c r="M2536" s="23" t="s">
        <v>66</v>
      </c>
    </row>
    <row r="2537" spans="12:13" x14ac:dyDescent="0.3">
      <c r="L2537" s="19" t="s">
        <v>1733</v>
      </c>
      <c r="M2537" s="24" t="s">
        <v>66</v>
      </c>
    </row>
    <row r="2538" spans="12:13" x14ac:dyDescent="0.3">
      <c r="L2538" s="18" t="s">
        <v>1734</v>
      </c>
      <c r="M2538" s="23" t="s">
        <v>66</v>
      </c>
    </row>
    <row r="2539" spans="12:13" x14ac:dyDescent="0.3">
      <c r="L2539" s="19" t="s">
        <v>1735</v>
      </c>
      <c r="M2539" s="24" t="s">
        <v>66</v>
      </c>
    </row>
    <row r="2540" spans="12:13" x14ac:dyDescent="0.3">
      <c r="L2540" s="18" t="s">
        <v>1736</v>
      </c>
      <c r="M2540" s="23" t="s">
        <v>66</v>
      </c>
    </row>
    <row r="2541" spans="12:13" x14ac:dyDescent="0.3">
      <c r="L2541" s="19" t="s">
        <v>1737</v>
      </c>
      <c r="M2541" s="24" t="s">
        <v>66</v>
      </c>
    </row>
    <row r="2542" spans="12:13" x14ac:dyDescent="0.3">
      <c r="L2542" s="18" t="s">
        <v>1738</v>
      </c>
      <c r="M2542" s="23" t="s">
        <v>66</v>
      </c>
    </row>
    <row r="2543" spans="12:13" x14ac:dyDescent="0.3">
      <c r="L2543" s="19" t="s">
        <v>1739</v>
      </c>
      <c r="M2543" s="24" t="s">
        <v>66</v>
      </c>
    </row>
    <row r="2544" spans="12:13" x14ac:dyDescent="0.3">
      <c r="L2544" s="18" t="s">
        <v>1740</v>
      </c>
      <c r="M2544" s="23" t="s">
        <v>66</v>
      </c>
    </row>
    <row r="2545" spans="12:13" x14ac:dyDescent="0.3">
      <c r="L2545" s="19" t="s">
        <v>1741</v>
      </c>
      <c r="M2545" s="24" t="s">
        <v>66</v>
      </c>
    </row>
    <row r="2546" spans="12:13" x14ac:dyDescent="0.3">
      <c r="L2546" s="18" t="s">
        <v>548</v>
      </c>
      <c r="M2546" s="23" t="s">
        <v>66</v>
      </c>
    </row>
    <row r="2547" spans="12:13" x14ac:dyDescent="0.3">
      <c r="L2547" s="19" t="s">
        <v>686</v>
      </c>
      <c r="M2547" s="24" t="s">
        <v>66</v>
      </c>
    </row>
    <row r="2548" spans="12:13" x14ac:dyDescent="0.3">
      <c r="L2548" s="18" t="s">
        <v>1742</v>
      </c>
      <c r="M2548" s="23" t="s">
        <v>66</v>
      </c>
    </row>
    <row r="2549" spans="12:13" x14ac:dyDescent="0.3">
      <c r="L2549" s="19" t="s">
        <v>1743</v>
      </c>
      <c r="M2549" s="24" t="s">
        <v>66</v>
      </c>
    </row>
    <row r="2550" spans="12:13" x14ac:dyDescent="0.3">
      <c r="L2550" s="18" t="s">
        <v>901</v>
      </c>
      <c r="M2550" s="23" t="s">
        <v>66</v>
      </c>
    </row>
    <row r="2551" spans="12:13" x14ac:dyDescent="0.3">
      <c r="L2551" s="19" t="s">
        <v>209</v>
      </c>
      <c r="M2551" s="24" t="s">
        <v>66</v>
      </c>
    </row>
    <row r="2552" spans="12:13" x14ac:dyDescent="0.3">
      <c r="L2552" s="18" t="s">
        <v>1744</v>
      </c>
      <c r="M2552" s="23" t="s">
        <v>66</v>
      </c>
    </row>
    <row r="2553" spans="12:13" x14ac:dyDescent="0.3">
      <c r="L2553" s="19" t="s">
        <v>1604</v>
      </c>
      <c r="M2553" s="24" t="s">
        <v>66</v>
      </c>
    </row>
    <row r="2554" spans="12:13" x14ac:dyDescent="0.3">
      <c r="L2554" s="18" t="s">
        <v>1745</v>
      </c>
      <c r="M2554" s="23" t="s">
        <v>66</v>
      </c>
    </row>
    <row r="2555" spans="12:13" x14ac:dyDescent="0.3">
      <c r="L2555" s="19" t="s">
        <v>1746</v>
      </c>
      <c r="M2555" s="24" t="s">
        <v>66</v>
      </c>
    </row>
    <row r="2556" spans="12:13" x14ac:dyDescent="0.3">
      <c r="L2556" s="18" t="s">
        <v>688</v>
      </c>
      <c r="M2556" s="23" t="s">
        <v>66</v>
      </c>
    </row>
    <row r="2557" spans="12:13" x14ac:dyDescent="0.3">
      <c r="L2557" s="19" t="s">
        <v>1747</v>
      </c>
      <c r="M2557" s="24" t="s">
        <v>66</v>
      </c>
    </row>
    <row r="2558" spans="12:13" x14ac:dyDescent="0.3">
      <c r="L2558" s="18" t="s">
        <v>210</v>
      </c>
      <c r="M2558" s="23" t="s">
        <v>66</v>
      </c>
    </row>
    <row r="2559" spans="12:13" x14ac:dyDescent="0.3">
      <c r="L2559" s="19" t="s">
        <v>211</v>
      </c>
      <c r="M2559" s="24" t="s">
        <v>66</v>
      </c>
    </row>
    <row r="2560" spans="12:13" x14ac:dyDescent="0.3">
      <c r="L2560" s="18" t="s">
        <v>1748</v>
      </c>
      <c r="M2560" s="23" t="s">
        <v>66</v>
      </c>
    </row>
    <row r="2561" spans="12:13" x14ac:dyDescent="0.3">
      <c r="L2561" s="19" t="s">
        <v>215</v>
      </c>
      <c r="M2561" s="24" t="s">
        <v>66</v>
      </c>
    </row>
    <row r="2562" spans="12:13" x14ac:dyDescent="0.3">
      <c r="L2562" s="18" t="s">
        <v>1749</v>
      </c>
      <c r="M2562" s="23" t="s">
        <v>66</v>
      </c>
    </row>
    <row r="2563" spans="12:13" x14ac:dyDescent="0.3">
      <c r="L2563" s="19" t="s">
        <v>1750</v>
      </c>
      <c r="M2563" s="24" t="s">
        <v>66</v>
      </c>
    </row>
    <row r="2564" spans="12:13" x14ac:dyDescent="0.3">
      <c r="L2564" s="18" t="s">
        <v>1751</v>
      </c>
      <c r="M2564" s="23" t="s">
        <v>66</v>
      </c>
    </row>
    <row r="2565" spans="12:13" x14ac:dyDescent="0.3">
      <c r="L2565" s="19" t="s">
        <v>1752</v>
      </c>
      <c r="M2565" s="24" t="s">
        <v>66</v>
      </c>
    </row>
    <row r="2566" spans="12:13" x14ac:dyDescent="0.3">
      <c r="L2566" s="18" t="s">
        <v>1753</v>
      </c>
      <c r="M2566" s="23" t="s">
        <v>66</v>
      </c>
    </row>
    <row r="2567" spans="12:13" x14ac:dyDescent="0.3">
      <c r="L2567" s="19" t="s">
        <v>1754</v>
      </c>
      <c r="M2567" s="24" t="s">
        <v>66</v>
      </c>
    </row>
    <row r="2568" spans="12:13" x14ac:dyDescent="0.3">
      <c r="L2568" s="18" t="s">
        <v>1755</v>
      </c>
      <c r="M2568" s="23" t="s">
        <v>66</v>
      </c>
    </row>
    <row r="2569" spans="12:13" x14ac:dyDescent="0.3">
      <c r="L2569" s="19" t="s">
        <v>833</v>
      </c>
      <c r="M2569" s="24" t="s">
        <v>66</v>
      </c>
    </row>
    <row r="2570" spans="12:13" x14ac:dyDescent="0.3">
      <c r="L2570" s="18" t="s">
        <v>1756</v>
      </c>
      <c r="M2570" s="23" t="s">
        <v>66</v>
      </c>
    </row>
    <row r="2571" spans="12:13" x14ac:dyDescent="0.3">
      <c r="L2571" s="19" t="s">
        <v>1757</v>
      </c>
      <c r="M2571" s="24" t="s">
        <v>66</v>
      </c>
    </row>
    <row r="2572" spans="12:13" x14ac:dyDescent="0.3">
      <c r="L2572" s="18" t="s">
        <v>1758</v>
      </c>
      <c r="M2572" s="23" t="s">
        <v>66</v>
      </c>
    </row>
    <row r="2573" spans="12:13" x14ac:dyDescent="0.3">
      <c r="L2573" s="19" t="s">
        <v>1759</v>
      </c>
      <c r="M2573" s="24" t="s">
        <v>66</v>
      </c>
    </row>
    <row r="2574" spans="12:13" x14ac:dyDescent="0.3">
      <c r="L2574" s="18" t="s">
        <v>1760</v>
      </c>
      <c r="M2574" s="23" t="s">
        <v>66</v>
      </c>
    </row>
    <row r="2575" spans="12:13" x14ac:dyDescent="0.3">
      <c r="L2575" s="19" t="s">
        <v>1700</v>
      </c>
      <c r="M2575" s="24" t="s">
        <v>66</v>
      </c>
    </row>
    <row r="2576" spans="12:13" x14ac:dyDescent="0.3">
      <c r="L2576" s="18" t="s">
        <v>1761</v>
      </c>
      <c r="M2576" s="23" t="s">
        <v>66</v>
      </c>
    </row>
    <row r="2577" spans="12:13" x14ac:dyDescent="0.3">
      <c r="L2577" s="19" t="s">
        <v>1762</v>
      </c>
      <c r="M2577" s="24" t="s">
        <v>66</v>
      </c>
    </row>
    <row r="2578" spans="12:13" x14ac:dyDescent="0.3">
      <c r="L2578" s="18" t="s">
        <v>1763</v>
      </c>
      <c r="M2578" s="23" t="s">
        <v>66</v>
      </c>
    </row>
    <row r="2579" spans="12:13" x14ac:dyDescent="0.3">
      <c r="L2579" s="19" t="s">
        <v>225</v>
      </c>
      <c r="M2579" s="24" t="s">
        <v>66</v>
      </c>
    </row>
    <row r="2580" spans="12:13" x14ac:dyDescent="0.3">
      <c r="L2580" s="18" t="s">
        <v>567</v>
      </c>
      <c r="M2580" s="23" t="s">
        <v>66</v>
      </c>
    </row>
    <row r="2581" spans="12:13" x14ac:dyDescent="0.3">
      <c r="L2581" s="19" t="s">
        <v>1764</v>
      </c>
      <c r="M2581" s="24" t="s">
        <v>66</v>
      </c>
    </row>
    <row r="2582" spans="12:13" x14ac:dyDescent="0.3">
      <c r="L2582" s="18" t="s">
        <v>436</v>
      </c>
      <c r="M2582" s="23" t="s">
        <v>66</v>
      </c>
    </row>
    <row r="2583" spans="12:13" x14ac:dyDescent="0.3">
      <c r="L2583" s="19" t="s">
        <v>1765</v>
      </c>
      <c r="M2583" s="24" t="s">
        <v>66</v>
      </c>
    </row>
    <row r="2584" spans="12:13" x14ac:dyDescent="0.3">
      <c r="L2584" s="18" t="s">
        <v>1766</v>
      </c>
      <c r="M2584" s="23" t="s">
        <v>66</v>
      </c>
    </row>
    <row r="2585" spans="12:13" x14ac:dyDescent="0.3">
      <c r="L2585" s="19" t="s">
        <v>1767</v>
      </c>
      <c r="M2585" s="24" t="s">
        <v>66</v>
      </c>
    </row>
    <row r="2586" spans="12:13" x14ac:dyDescent="0.3">
      <c r="L2586" s="18" t="s">
        <v>1768</v>
      </c>
      <c r="M2586" s="23" t="s">
        <v>66</v>
      </c>
    </row>
    <row r="2587" spans="12:13" x14ac:dyDescent="0.3">
      <c r="L2587" s="19" t="s">
        <v>1769</v>
      </c>
      <c r="M2587" s="24" t="s">
        <v>66</v>
      </c>
    </row>
    <row r="2588" spans="12:13" x14ac:dyDescent="0.3">
      <c r="L2588" s="18" t="s">
        <v>501</v>
      </c>
      <c r="M2588" s="23" t="s">
        <v>66</v>
      </c>
    </row>
    <row r="2589" spans="12:13" x14ac:dyDescent="0.3">
      <c r="L2589" s="19" t="s">
        <v>1770</v>
      </c>
      <c r="M2589" s="24" t="s">
        <v>66</v>
      </c>
    </row>
    <row r="2590" spans="12:13" x14ac:dyDescent="0.3">
      <c r="L2590" s="18" t="s">
        <v>1771</v>
      </c>
      <c r="M2590" s="23" t="s">
        <v>66</v>
      </c>
    </row>
    <row r="2591" spans="12:13" x14ac:dyDescent="0.3">
      <c r="L2591" s="19" t="s">
        <v>697</v>
      </c>
      <c r="M2591" s="24" t="s">
        <v>66</v>
      </c>
    </row>
    <row r="2592" spans="12:13" x14ac:dyDescent="0.3">
      <c r="L2592" s="18" t="s">
        <v>837</v>
      </c>
      <c r="M2592" s="23" t="s">
        <v>66</v>
      </c>
    </row>
    <row r="2593" spans="12:13" x14ac:dyDescent="0.3">
      <c r="L2593" s="19" t="s">
        <v>442</v>
      </c>
      <c r="M2593" s="24" t="s">
        <v>66</v>
      </c>
    </row>
    <row r="2594" spans="12:13" x14ac:dyDescent="0.3">
      <c r="L2594" s="18" t="s">
        <v>1772</v>
      </c>
      <c r="M2594" s="23" t="s">
        <v>66</v>
      </c>
    </row>
    <row r="2595" spans="12:13" x14ac:dyDescent="0.3">
      <c r="L2595" s="19" t="s">
        <v>1773</v>
      </c>
      <c r="M2595" s="24" t="s">
        <v>66</v>
      </c>
    </row>
    <row r="2596" spans="12:13" x14ac:dyDescent="0.3">
      <c r="L2596" s="18" t="s">
        <v>578</v>
      </c>
      <c r="M2596" s="23" t="s">
        <v>66</v>
      </c>
    </row>
    <row r="2597" spans="12:13" x14ac:dyDescent="0.3">
      <c r="L2597" s="19" t="s">
        <v>230</v>
      </c>
      <c r="M2597" s="24" t="s">
        <v>66</v>
      </c>
    </row>
    <row r="2598" spans="12:13" x14ac:dyDescent="0.3">
      <c r="L2598" s="18" t="s">
        <v>1774</v>
      </c>
      <c r="M2598" s="23" t="s">
        <v>66</v>
      </c>
    </row>
    <row r="2599" spans="12:13" x14ac:dyDescent="0.3">
      <c r="L2599" s="19" t="s">
        <v>579</v>
      </c>
      <c r="M2599" s="24" t="s">
        <v>66</v>
      </c>
    </row>
    <row r="2600" spans="12:13" x14ac:dyDescent="0.3">
      <c r="L2600" s="18" t="s">
        <v>1775</v>
      </c>
      <c r="M2600" s="23" t="s">
        <v>66</v>
      </c>
    </row>
    <row r="2601" spans="12:13" x14ac:dyDescent="0.3">
      <c r="L2601" s="19" t="s">
        <v>1776</v>
      </c>
      <c r="M2601" s="24" t="s">
        <v>66</v>
      </c>
    </row>
    <row r="2602" spans="12:13" x14ac:dyDescent="0.3">
      <c r="L2602" s="18" t="s">
        <v>231</v>
      </c>
      <c r="M2602" s="23" t="s">
        <v>66</v>
      </c>
    </row>
    <row r="2603" spans="12:13" x14ac:dyDescent="0.3">
      <c r="L2603" s="19" t="s">
        <v>1777</v>
      </c>
      <c r="M2603" s="24" t="s">
        <v>66</v>
      </c>
    </row>
    <row r="2604" spans="12:13" x14ac:dyDescent="0.3">
      <c r="L2604" s="18" t="s">
        <v>1778</v>
      </c>
      <c r="M2604" s="23" t="s">
        <v>66</v>
      </c>
    </row>
    <row r="2605" spans="12:13" x14ac:dyDescent="0.3">
      <c r="L2605" s="19" t="s">
        <v>1779</v>
      </c>
      <c r="M2605" s="24" t="s">
        <v>66</v>
      </c>
    </row>
    <row r="2606" spans="12:13" x14ac:dyDescent="0.3">
      <c r="L2606" s="18" t="s">
        <v>1780</v>
      </c>
      <c r="M2606" s="23" t="s">
        <v>66</v>
      </c>
    </row>
    <row r="2607" spans="12:13" x14ac:dyDescent="0.3">
      <c r="L2607" s="19" t="s">
        <v>1781</v>
      </c>
      <c r="M2607" s="24" t="s">
        <v>66</v>
      </c>
    </row>
    <row r="2608" spans="12:13" x14ac:dyDescent="0.3">
      <c r="L2608" s="18" t="s">
        <v>1782</v>
      </c>
      <c r="M2608" s="23" t="s">
        <v>66</v>
      </c>
    </row>
    <row r="2609" spans="12:13" x14ac:dyDescent="0.3">
      <c r="L2609" s="19" t="s">
        <v>1783</v>
      </c>
      <c r="M2609" s="24" t="s">
        <v>66</v>
      </c>
    </row>
    <row r="2610" spans="12:13" x14ac:dyDescent="0.3">
      <c r="L2610" s="18" t="s">
        <v>1784</v>
      </c>
      <c r="M2610" s="23" t="s">
        <v>66</v>
      </c>
    </row>
    <row r="2611" spans="12:13" x14ac:dyDescent="0.3">
      <c r="L2611" s="19" t="s">
        <v>1785</v>
      </c>
      <c r="M2611" s="24" t="s">
        <v>66</v>
      </c>
    </row>
    <row r="2612" spans="12:13" x14ac:dyDescent="0.3">
      <c r="L2612" s="18" t="s">
        <v>842</v>
      </c>
      <c r="M2612" s="23" t="s">
        <v>66</v>
      </c>
    </row>
    <row r="2613" spans="12:13" x14ac:dyDescent="0.3">
      <c r="L2613" s="19" t="s">
        <v>913</v>
      </c>
      <c r="M2613" s="24" t="s">
        <v>66</v>
      </c>
    </row>
    <row r="2614" spans="12:13" x14ac:dyDescent="0.3">
      <c r="L2614" s="18" t="s">
        <v>1786</v>
      </c>
      <c r="M2614" s="23" t="s">
        <v>66</v>
      </c>
    </row>
    <row r="2615" spans="12:13" x14ac:dyDescent="0.3">
      <c r="L2615" s="19" t="s">
        <v>1787</v>
      </c>
      <c r="M2615" s="24" t="s">
        <v>66</v>
      </c>
    </row>
    <row r="2616" spans="12:13" x14ac:dyDescent="0.3">
      <c r="L2616" s="18" t="s">
        <v>1362</v>
      </c>
      <c r="M2616" s="23" t="s">
        <v>66</v>
      </c>
    </row>
    <row r="2617" spans="12:13" x14ac:dyDescent="0.3">
      <c r="L2617" s="19" t="s">
        <v>234</v>
      </c>
      <c r="M2617" s="24" t="s">
        <v>66</v>
      </c>
    </row>
    <row r="2618" spans="12:13" x14ac:dyDescent="0.3">
      <c r="L2618" s="18" t="s">
        <v>588</v>
      </c>
      <c r="M2618" s="23" t="s">
        <v>66</v>
      </c>
    </row>
    <row r="2619" spans="12:13" x14ac:dyDescent="0.3">
      <c r="L2619" s="19" t="s">
        <v>507</v>
      </c>
      <c r="M2619" s="24" t="s">
        <v>66</v>
      </c>
    </row>
    <row r="2620" spans="12:13" x14ac:dyDescent="0.3">
      <c r="L2620" s="18" t="s">
        <v>1788</v>
      </c>
      <c r="M2620" s="23" t="s">
        <v>66</v>
      </c>
    </row>
    <row r="2621" spans="12:13" x14ac:dyDescent="0.3">
      <c r="L2621" s="19" t="s">
        <v>1707</v>
      </c>
      <c r="M2621" s="24" t="s">
        <v>66</v>
      </c>
    </row>
    <row r="2622" spans="12:13" x14ac:dyDescent="0.3">
      <c r="L2622" s="18" t="s">
        <v>701</v>
      </c>
      <c r="M2622" s="23" t="s">
        <v>66</v>
      </c>
    </row>
    <row r="2623" spans="12:13" x14ac:dyDescent="0.3">
      <c r="L2623" s="19" t="s">
        <v>591</v>
      </c>
      <c r="M2623" s="24" t="s">
        <v>66</v>
      </c>
    </row>
    <row r="2624" spans="12:13" x14ac:dyDescent="0.3">
      <c r="L2624" s="18" t="s">
        <v>748</v>
      </c>
      <c r="M2624" s="23" t="s">
        <v>66</v>
      </c>
    </row>
    <row r="2625" spans="12:13" x14ac:dyDescent="0.3">
      <c r="L2625" s="19" t="s">
        <v>1789</v>
      </c>
      <c r="M2625" s="24" t="s">
        <v>66</v>
      </c>
    </row>
    <row r="2626" spans="12:13" x14ac:dyDescent="0.3">
      <c r="L2626" s="18" t="s">
        <v>847</v>
      </c>
      <c r="M2626" s="23" t="s">
        <v>66</v>
      </c>
    </row>
    <row r="2627" spans="12:13" x14ac:dyDescent="0.3">
      <c r="L2627" s="19" t="s">
        <v>1790</v>
      </c>
      <c r="M2627" s="24" t="s">
        <v>66</v>
      </c>
    </row>
    <row r="2628" spans="12:13" x14ac:dyDescent="0.3">
      <c r="L2628" s="18" t="s">
        <v>1791</v>
      </c>
      <c r="M2628" s="23" t="s">
        <v>66</v>
      </c>
    </row>
    <row r="2629" spans="12:13" x14ac:dyDescent="0.3">
      <c r="L2629" s="19" t="s">
        <v>702</v>
      </c>
      <c r="M2629" s="24" t="s">
        <v>66</v>
      </c>
    </row>
    <row r="2630" spans="12:13" x14ac:dyDescent="0.3">
      <c r="L2630" s="18" t="s">
        <v>1364</v>
      </c>
      <c r="M2630" s="23" t="s">
        <v>66</v>
      </c>
    </row>
    <row r="2631" spans="12:13" x14ac:dyDescent="0.3">
      <c r="L2631" s="19" t="s">
        <v>1262</v>
      </c>
      <c r="M2631" s="24" t="s">
        <v>66</v>
      </c>
    </row>
    <row r="2632" spans="12:13" x14ac:dyDescent="0.3">
      <c r="L2632" s="18" t="s">
        <v>1792</v>
      </c>
      <c r="M2632" s="23" t="s">
        <v>66</v>
      </c>
    </row>
    <row r="2633" spans="12:13" x14ac:dyDescent="0.3">
      <c r="L2633" s="19" t="s">
        <v>1793</v>
      </c>
      <c r="M2633" s="24" t="s">
        <v>66</v>
      </c>
    </row>
    <row r="2634" spans="12:13" x14ac:dyDescent="0.3">
      <c r="L2634" s="18" t="s">
        <v>918</v>
      </c>
      <c r="M2634" s="23" t="s">
        <v>66</v>
      </c>
    </row>
    <row r="2635" spans="12:13" x14ac:dyDescent="0.3">
      <c r="L2635" s="19" t="s">
        <v>236</v>
      </c>
      <c r="M2635" s="24" t="s">
        <v>66</v>
      </c>
    </row>
    <row r="2636" spans="12:13" x14ac:dyDescent="0.3">
      <c r="L2636" s="18" t="s">
        <v>333</v>
      </c>
      <c r="M2636" s="23" t="s">
        <v>66</v>
      </c>
    </row>
    <row r="2637" spans="12:13" x14ac:dyDescent="0.3">
      <c r="L2637" s="19" t="s">
        <v>1794</v>
      </c>
      <c r="M2637" s="24" t="s">
        <v>66</v>
      </c>
    </row>
    <row r="2638" spans="12:13" x14ac:dyDescent="0.3">
      <c r="L2638" s="18" t="s">
        <v>1795</v>
      </c>
      <c r="M2638" s="23" t="s">
        <v>66</v>
      </c>
    </row>
    <row r="2639" spans="12:13" x14ac:dyDescent="0.3">
      <c r="L2639" s="19" t="s">
        <v>1678</v>
      </c>
      <c r="M2639" s="24" t="s">
        <v>66</v>
      </c>
    </row>
    <row r="2640" spans="12:13" x14ac:dyDescent="0.3">
      <c r="L2640" s="18" t="s">
        <v>1796</v>
      </c>
      <c r="M2640" s="23" t="s">
        <v>66</v>
      </c>
    </row>
    <row r="2641" spans="12:13" x14ac:dyDescent="0.3">
      <c r="L2641" s="19" t="s">
        <v>1797</v>
      </c>
      <c r="M2641" s="24" t="s">
        <v>66</v>
      </c>
    </row>
    <row r="2642" spans="12:13" x14ac:dyDescent="0.3">
      <c r="L2642" s="18" t="s">
        <v>237</v>
      </c>
      <c r="M2642" s="23" t="s">
        <v>66</v>
      </c>
    </row>
    <row r="2643" spans="12:13" x14ac:dyDescent="0.3">
      <c r="L2643" s="19" t="s">
        <v>595</v>
      </c>
      <c r="M2643" s="24" t="s">
        <v>66</v>
      </c>
    </row>
    <row r="2644" spans="12:13" x14ac:dyDescent="0.3">
      <c r="L2644" s="18" t="s">
        <v>596</v>
      </c>
      <c r="M2644" s="23" t="s">
        <v>66</v>
      </c>
    </row>
    <row r="2645" spans="12:13" x14ac:dyDescent="0.3">
      <c r="L2645" s="19" t="s">
        <v>238</v>
      </c>
      <c r="M2645" s="24" t="s">
        <v>66</v>
      </c>
    </row>
    <row r="2646" spans="12:13" x14ac:dyDescent="0.3">
      <c r="L2646" s="18" t="s">
        <v>1798</v>
      </c>
      <c r="M2646" s="23" t="s">
        <v>66</v>
      </c>
    </row>
    <row r="2647" spans="12:13" x14ac:dyDescent="0.3">
      <c r="L2647" s="19" t="s">
        <v>1799</v>
      </c>
      <c r="M2647" s="24" t="s">
        <v>66</v>
      </c>
    </row>
    <row r="2648" spans="12:13" x14ac:dyDescent="0.3">
      <c r="L2648" s="18" t="s">
        <v>336</v>
      </c>
      <c r="M2648" s="23" t="s">
        <v>66</v>
      </c>
    </row>
    <row r="2649" spans="12:13" x14ac:dyDescent="0.3">
      <c r="L2649" s="19" t="s">
        <v>598</v>
      </c>
      <c r="M2649" s="24" t="s">
        <v>66</v>
      </c>
    </row>
    <row r="2650" spans="12:13" x14ac:dyDescent="0.3">
      <c r="L2650" s="18" t="s">
        <v>1800</v>
      </c>
      <c r="M2650" s="23" t="s">
        <v>66</v>
      </c>
    </row>
    <row r="2651" spans="12:13" x14ac:dyDescent="0.3">
      <c r="L2651" s="19" t="s">
        <v>1801</v>
      </c>
      <c r="M2651" s="24" t="s">
        <v>66</v>
      </c>
    </row>
    <row r="2652" spans="12:13" x14ac:dyDescent="0.3">
      <c r="L2652" s="18" t="s">
        <v>708</v>
      </c>
      <c r="M2652" s="23" t="s">
        <v>66</v>
      </c>
    </row>
    <row r="2653" spans="12:13" x14ac:dyDescent="0.3">
      <c r="L2653" s="19" t="s">
        <v>1802</v>
      </c>
      <c r="M2653" s="24" t="s">
        <v>66</v>
      </c>
    </row>
    <row r="2654" spans="12:13" x14ac:dyDescent="0.3">
      <c r="L2654" s="18" t="s">
        <v>484</v>
      </c>
      <c r="M2654" s="23" t="s">
        <v>66</v>
      </c>
    </row>
    <row r="2655" spans="12:13" x14ac:dyDescent="0.3">
      <c r="L2655" s="19" t="s">
        <v>1803</v>
      </c>
      <c r="M2655" s="24" t="s">
        <v>66</v>
      </c>
    </row>
    <row r="2656" spans="12:13" x14ac:dyDescent="0.3">
      <c r="L2656" s="18" t="s">
        <v>1804</v>
      </c>
      <c r="M2656" s="23" t="s">
        <v>66</v>
      </c>
    </row>
    <row r="2657" spans="12:13" x14ac:dyDescent="0.3">
      <c r="L2657" s="19" t="s">
        <v>1805</v>
      </c>
      <c r="M2657" s="24" t="s">
        <v>66</v>
      </c>
    </row>
    <row r="2658" spans="12:13" x14ac:dyDescent="0.3">
      <c r="L2658" s="18" t="s">
        <v>1806</v>
      </c>
      <c r="M2658" s="23" t="s">
        <v>66</v>
      </c>
    </row>
    <row r="2659" spans="12:13" x14ac:dyDescent="0.3">
      <c r="L2659" s="19" t="s">
        <v>1807</v>
      </c>
      <c r="M2659" s="24" t="s">
        <v>66</v>
      </c>
    </row>
    <row r="2660" spans="12:13" x14ac:dyDescent="0.3">
      <c r="L2660" s="18" t="s">
        <v>709</v>
      </c>
      <c r="M2660" s="23" t="s">
        <v>66</v>
      </c>
    </row>
    <row r="2661" spans="12:13" x14ac:dyDescent="0.3">
      <c r="L2661" s="19" t="s">
        <v>239</v>
      </c>
      <c r="M2661" s="24" t="s">
        <v>66</v>
      </c>
    </row>
    <row r="2662" spans="12:13" x14ac:dyDescent="0.3">
      <c r="L2662" s="18" t="s">
        <v>1808</v>
      </c>
      <c r="M2662" s="23" t="s">
        <v>66</v>
      </c>
    </row>
    <row r="2663" spans="12:13" x14ac:dyDescent="0.3">
      <c r="L2663" s="19" t="s">
        <v>1809</v>
      </c>
      <c r="M2663" s="24" t="s">
        <v>66</v>
      </c>
    </row>
    <row r="2664" spans="12:13" x14ac:dyDescent="0.3">
      <c r="L2664" s="18" t="s">
        <v>710</v>
      </c>
      <c r="M2664" s="23" t="s">
        <v>66</v>
      </c>
    </row>
    <row r="2665" spans="12:13" x14ac:dyDescent="0.3">
      <c r="L2665" s="19" t="s">
        <v>1810</v>
      </c>
      <c r="M2665" s="24" t="s">
        <v>66</v>
      </c>
    </row>
    <row r="2666" spans="12:13" x14ac:dyDescent="0.3">
      <c r="L2666" s="18" t="s">
        <v>242</v>
      </c>
      <c r="M2666" s="23" t="s">
        <v>66</v>
      </c>
    </row>
    <row r="2667" spans="12:13" x14ac:dyDescent="0.3">
      <c r="L2667" s="19" t="s">
        <v>515</v>
      </c>
      <c r="M2667" s="24" t="s">
        <v>66</v>
      </c>
    </row>
    <row r="2668" spans="12:13" x14ac:dyDescent="0.3">
      <c r="L2668" s="18" t="s">
        <v>517</v>
      </c>
      <c r="M2668" s="23" t="s">
        <v>66</v>
      </c>
    </row>
    <row r="2669" spans="12:13" x14ac:dyDescent="0.3">
      <c r="L2669" s="19" t="s">
        <v>243</v>
      </c>
      <c r="M2669" s="24" t="s">
        <v>66</v>
      </c>
    </row>
    <row r="2670" spans="12:13" x14ac:dyDescent="0.3">
      <c r="L2670" s="18" t="s">
        <v>1811</v>
      </c>
      <c r="M2670" s="23" t="s">
        <v>66</v>
      </c>
    </row>
    <row r="2671" spans="12:13" x14ac:dyDescent="0.3">
      <c r="L2671" s="19" t="s">
        <v>1812</v>
      </c>
      <c r="M2671" s="24" t="s">
        <v>66</v>
      </c>
    </row>
    <row r="2672" spans="12:13" x14ac:dyDescent="0.3">
      <c r="L2672" s="18" t="s">
        <v>1813</v>
      </c>
      <c r="M2672" s="23" t="s">
        <v>66</v>
      </c>
    </row>
    <row r="2673" spans="12:13" x14ac:dyDescent="0.3">
      <c r="L2673" s="19" t="s">
        <v>1814</v>
      </c>
      <c r="M2673" s="24" t="s">
        <v>66</v>
      </c>
    </row>
    <row r="2674" spans="12:13" x14ac:dyDescent="0.3">
      <c r="L2674" s="18" t="s">
        <v>1815</v>
      </c>
      <c r="M2674" s="23" t="s">
        <v>66</v>
      </c>
    </row>
    <row r="2675" spans="12:13" x14ac:dyDescent="0.3">
      <c r="L2675" s="19" t="s">
        <v>1816</v>
      </c>
      <c r="M2675" s="24" t="s">
        <v>66</v>
      </c>
    </row>
    <row r="2676" spans="12:13" x14ac:dyDescent="0.3">
      <c r="L2676" s="18" t="s">
        <v>1817</v>
      </c>
      <c r="M2676" s="23" t="s">
        <v>66</v>
      </c>
    </row>
    <row r="2677" spans="12:13" x14ac:dyDescent="0.3">
      <c r="L2677" s="19" t="s">
        <v>1818</v>
      </c>
      <c r="M2677" s="24" t="s">
        <v>66</v>
      </c>
    </row>
    <row r="2678" spans="12:13" x14ac:dyDescent="0.3">
      <c r="L2678" s="18" t="s">
        <v>1819</v>
      </c>
      <c r="M2678" s="23" t="s">
        <v>66</v>
      </c>
    </row>
    <row r="2679" spans="12:13" x14ac:dyDescent="0.3">
      <c r="L2679" s="19" t="s">
        <v>246</v>
      </c>
      <c r="M2679" s="24" t="s">
        <v>66</v>
      </c>
    </row>
    <row r="2680" spans="12:13" x14ac:dyDescent="0.3">
      <c r="L2680" s="18" t="s">
        <v>248</v>
      </c>
      <c r="M2680" s="23" t="s">
        <v>66</v>
      </c>
    </row>
    <row r="2681" spans="12:13" x14ac:dyDescent="0.3">
      <c r="L2681" s="19" t="s">
        <v>519</v>
      </c>
      <c r="M2681" s="24" t="s">
        <v>66</v>
      </c>
    </row>
    <row r="2682" spans="12:13" x14ac:dyDescent="0.3">
      <c r="L2682" s="18" t="s">
        <v>716</v>
      </c>
      <c r="M2682" s="23" t="s">
        <v>66</v>
      </c>
    </row>
    <row r="2683" spans="12:13" x14ac:dyDescent="0.3">
      <c r="L2683" s="19" t="s">
        <v>1820</v>
      </c>
      <c r="M2683" s="24" t="s">
        <v>66</v>
      </c>
    </row>
    <row r="2684" spans="12:13" x14ac:dyDescent="0.3">
      <c r="L2684" s="18" t="s">
        <v>1821</v>
      </c>
      <c r="M2684" s="23" t="s">
        <v>66</v>
      </c>
    </row>
    <row r="2685" spans="12:13" x14ac:dyDescent="0.3">
      <c r="L2685" s="19" t="s">
        <v>1523</v>
      </c>
      <c r="M2685" s="24" t="s">
        <v>66</v>
      </c>
    </row>
    <row r="2686" spans="12:13" x14ac:dyDescent="0.3">
      <c r="L2686" s="18" t="s">
        <v>718</v>
      </c>
      <c r="M2686" s="23" t="s">
        <v>66</v>
      </c>
    </row>
    <row r="2687" spans="12:13" x14ac:dyDescent="0.3">
      <c r="L2687" s="19" t="s">
        <v>1088</v>
      </c>
      <c r="M2687" s="24" t="s">
        <v>66</v>
      </c>
    </row>
    <row r="2688" spans="12:13" x14ac:dyDescent="0.3">
      <c r="L2688" s="18" t="s">
        <v>1822</v>
      </c>
      <c r="M2688" s="23" t="s">
        <v>66</v>
      </c>
    </row>
    <row r="2689" spans="12:13" x14ac:dyDescent="0.3">
      <c r="L2689" s="19" t="s">
        <v>805</v>
      </c>
      <c r="M2689" s="24" t="s">
        <v>66</v>
      </c>
    </row>
    <row r="2690" spans="12:13" x14ac:dyDescent="0.3">
      <c r="L2690" s="18" t="s">
        <v>606</v>
      </c>
      <c r="M2690" s="23" t="s">
        <v>66</v>
      </c>
    </row>
    <row r="2691" spans="12:13" x14ac:dyDescent="0.3">
      <c r="L2691" s="19" t="s">
        <v>1823</v>
      </c>
      <c r="M2691" s="24" t="s">
        <v>66</v>
      </c>
    </row>
    <row r="2692" spans="12:13" x14ac:dyDescent="0.3">
      <c r="L2692" s="18" t="s">
        <v>252</v>
      </c>
      <c r="M2692" s="23" t="s">
        <v>66</v>
      </c>
    </row>
    <row r="2693" spans="12:13" x14ac:dyDescent="0.3">
      <c r="L2693" s="19" t="s">
        <v>1448</v>
      </c>
      <c r="M2693" s="24" t="s">
        <v>66</v>
      </c>
    </row>
    <row r="2694" spans="12:13" x14ac:dyDescent="0.3">
      <c r="L2694" s="18" t="s">
        <v>857</v>
      </c>
      <c r="M2694" s="23" t="s">
        <v>66</v>
      </c>
    </row>
    <row r="2695" spans="12:13" x14ac:dyDescent="0.3">
      <c r="L2695" s="19" t="s">
        <v>1824</v>
      </c>
      <c r="M2695" s="24" t="s">
        <v>66</v>
      </c>
    </row>
    <row r="2696" spans="12:13" x14ac:dyDescent="0.3">
      <c r="L2696" s="18" t="s">
        <v>1825</v>
      </c>
      <c r="M2696" s="23" t="s">
        <v>66</v>
      </c>
    </row>
    <row r="2697" spans="12:13" x14ac:dyDescent="0.3">
      <c r="L2697" s="19" t="s">
        <v>1826</v>
      </c>
      <c r="M2697" s="24" t="s">
        <v>66</v>
      </c>
    </row>
    <row r="2698" spans="12:13" x14ac:dyDescent="0.3">
      <c r="L2698" s="18" t="s">
        <v>345</v>
      </c>
      <c r="M2698" s="23" t="s">
        <v>66</v>
      </c>
    </row>
    <row r="2699" spans="12:13" x14ac:dyDescent="0.3">
      <c r="L2699" s="19" t="s">
        <v>1827</v>
      </c>
      <c r="M2699" s="24" t="s">
        <v>66</v>
      </c>
    </row>
    <row r="2700" spans="12:13" x14ac:dyDescent="0.3">
      <c r="L2700" s="18" t="s">
        <v>1828</v>
      </c>
      <c r="M2700" s="23" t="s">
        <v>66</v>
      </c>
    </row>
    <row r="2701" spans="12:13" x14ac:dyDescent="0.3">
      <c r="L2701" s="19" t="s">
        <v>1829</v>
      </c>
      <c r="M2701" s="24" t="s">
        <v>66</v>
      </c>
    </row>
    <row r="2702" spans="12:13" x14ac:dyDescent="0.3">
      <c r="L2702" s="18" t="s">
        <v>934</v>
      </c>
      <c r="M2702" s="23" t="s">
        <v>66</v>
      </c>
    </row>
    <row r="2703" spans="12:13" x14ac:dyDescent="0.3">
      <c r="L2703" s="19" t="s">
        <v>394</v>
      </c>
      <c r="M2703" s="24" t="s">
        <v>66</v>
      </c>
    </row>
    <row r="2704" spans="12:13" x14ac:dyDescent="0.3">
      <c r="L2704" s="18" t="s">
        <v>1830</v>
      </c>
      <c r="M2704" s="23" t="s">
        <v>66</v>
      </c>
    </row>
    <row r="2705" spans="12:13" x14ac:dyDescent="0.3">
      <c r="L2705" s="19" t="s">
        <v>1192</v>
      </c>
      <c r="M2705" s="24" t="s">
        <v>66</v>
      </c>
    </row>
    <row r="2706" spans="12:13" x14ac:dyDescent="0.3">
      <c r="L2706" s="18" t="s">
        <v>1831</v>
      </c>
      <c r="M2706" s="23" t="s">
        <v>66</v>
      </c>
    </row>
    <row r="2707" spans="12:13" x14ac:dyDescent="0.3">
      <c r="L2707" s="19" t="s">
        <v>1832</v>
      </c>
      <c r="M2707" s="24" t="s">
        <v>66</v>
      </c>
    </row>
    <row r="2708" spans="12:13" x14ac:dyDescent="0.3">
      <c r="L2708" s="18" t="s">
        <v>1833</v>
      </c>
      <c r="M2708" s="23" t="s">
        <v>66</v>
      </c>
    </row>
    <row r="2709" spans="12:13" x14ac:dyDescent="0.3">
      <c r="L2709" s="19" t="s">
        <v>349</v>
      </c>
      <c r="M2709" s="24" t="s">
        <v>66</v>
      </c>
    </row>
    <row r="2710" spans="12:13" x14ac:dyDescent="0.3">
      <c r="L2710" s="18" t="s">
        <v>1624</v>
      </c>
      <c r="M2710" s="23" t="s">
        <v>66</v>
      </c>
    </row>
    <row r="2711" spans="12:13" x14ac:dyDescent="0.3">
      <c r="L2711" s="19" t="s">
        <v>1834</v>
      </c>
      <c r="M2711" s="24" t="s">
        <v>66</v>
      </c>
    </row>
    <row r="2712" spans="12:13" x14ac:dyDescent="0.3">
      <c r="L2712" s="18" t="s">
        <v>1835</v>
      </c>
      <c r="M2712" s="23" t="s">
        <v>66</v>
      </c>
    </row>
    <row r="2713" spans="12:13" x14ac:dyDescent="0.3">
      <c r="L2713" s="19" t="s">
        <v>1836</v>
      </c>
      <c r="M2713" s="24" t="s">
        <v>66</v>
      </c>
    </row>
    <row r="2714" spans="12:13" x14ac:dyDescent="0.3">
      <c r="L2714" s="18" t="s">
        <v>1837</v>
      </c>
      <c r="M2714" s="23" t="s">
        <v>66</v>
      </c>
    </row>
    <row r="2715" spans="12:13" x14ac:dyDescent="0.3">
      <c r="L2715" s="19" t="s">
        <v>1838</v>
      </c>
      <c r="M2715" s="24" t="s">
        <v>66</v>
      </c>
    </row>
    <row r="2716" spans="12:13" x14ac:dyDescent="0.3">
      <c r="L2716" s="18" t="s">
        <v>1839</v>
      </c>
      <c r="M2716" s="23" t="s">
        <v>66</v>
      </c>
    </row>
    <row r="2717" spans="12:13" x14ac:dyDescent="0.3">
      <c r="L2717" s="19" t="s">
        <v>1840</v>
      </c>
      <c r="M2717" s="24" t="s">
        <v>66</v>
      </c>
    </row>
    <row r="2718" spans="12:13" x14ac:dyDescent="0.3">
      <c r="L2718" s="18" t="s">
        <v>1841</v>
      </c>
      <c r="M2718" s="23" t="s">
        <v>66</v>
      </c>
    </row>
    <row r="2719" spans="12:13" x14ac:dyDescent="0.3">
      <c r="L2719" s="19" t="s">
        <v>1687</v>
      </c>
      <c r="M2719" s="24" t="s">
        <v>66</v>
      </c>
    </row>
    <row r="2720" spans="12:13" x14ac:dyDescent="0.3">
      <c r="L2720" s="18" t="s">
        <v>938</v>
      </c>
      <c r="M2720" s="23" t="s">
        <v>66</v>
      </c>
    </row>
    <row r="2721" spans="12:13" x14ac:dyDescent="0.3">
      <c r="L2721" s="19" t="s">
        <v>1842</v>
      </c>
      <c r="M2721" s="24" t="s">
        <v>66</v>
      </c>
    </row>
    <row r="2722" spans="12:13" x14ac:dyDescent="0.3">
      <c r="L2722" s="18" t="s">
        <v>1843</v>
      </c>
      <c r="M2722" s="23" t="s">
        <v>66</v>
      </c>
    </row>
    <row r="2723" spans="12:13" x14ac:dyDescent="0.3">
      <c r="L2723" s="19" t="s">
        <v>1844</v>
      </c>
      <c r="M2723" s="24" t="s">
        <v>66</v>
      </c>
    </row>
    <row r="2724" spans="12:13" x14ac:dyDescent="0.3">
      <c r="L2724" s="18" t="s">
        <v>1845</v>
      </c>
      <c r="M2724" s="23" t="s">
        <v>66</v>
      </c>
    </row>
    <row r="2725" spans="12:13" x14ac:dyDescent="0.3">
      <c r="L2725" s="19" t="s">
        <v>1846</v>
      </c>
      <c r="M2725" s="24" t="s">
        <v>66</v>
      </c>
    </row>
    <row r="2726" spans="12:13" x14ac:dyDescent="0.3">
      <c r="L2726" s="18" t="s">
        <v>1847</v>
      </c>
      <c r="M2726" s="23" t="s">
        <v>66</v>
      </c>
    </row>
    <row r="2727" spans="12:13" x14ac:dyDescent="0.3">
      <c r="L2727" s="19" t="s">
        <v>1848</v>
      </c>
      <c r="M2727" s="24" t="s">
        <v>66</v>
      </c>
    </row>
    <row r="2728" spans="12:13" x14ac:dyDescent="0.3">
      <c r="L2728" s="18" t="s">
        <v>1849</v>
      </c>
      <c r="M2728" s="23" t="s">
        <v>66</v>
      </c>
    </row>
    <row r="2729" spans="12:13" x14ac:dyDescent="0.3">
      <c r="L2729" s="19" t="s">
        <v>1850</v>
      </c>
      <c r="M2729" s="24" t="s">
        <v>66</v>
      </c>
    </row>
    <row r="2730" spans="12:13" x14ac:dyDescent="0.3">
      <c r="L2730" s="18" t="s">
        <v>1851</v>
      </c>
      <c r="M2730" s="23" t="s">
        <v>66</v>
      </c>
    </row>
    <row r="2731" spans="12:13" x14ac:dyDescent="0.3">
      <c r="L2731" s="19" t="s">
        <v>1852</v>
      </c>
      <c r="M2731" s="24" t="s">
        <v>66</v>
      </c>
    </row>
    <row r="2732" spans="12:13" x14ac:dyDescent="0.3">
      <c r="L2732" s="18" t="s">
        <v>260</v>
      </c>
      <c r="M2732" s="23" t="s">
        <v>66</v>
      </c>
    </row>
    <row r="2733" spans="12:13" x14ac:dyDescent="0.3">
      <c r="L2733" s="19" t="s">
        <v>878</v>
      </c>
      <c r="M2733" s="24" t="s">
        <v>66</v>
      </c>
    </row>
    <row r="2734" spans="12:13" x14ac:dyDescent="0.3">
      <c r="L2734" s="18" t="s">
        <v>879</v>
      </c>
      <c r="M2734" s="23" t="s">
        <v>66</v>
      </c>
    </row>
    <row r="2735" spans="12:13" x14ac:dyDescent="0.3">
      <c r="L2735" s="19" t="s">
        <v>1853</v>
      </c>
      <c r="M2735" s="24" t="s">
        <v>66</v>
      </c>
    </row>
    <row r="2736" spans="12:13" x14ac:dyDescent="0.3">
      <c r="L2736" s="18" t="s">
        <v>1854</v>
      </c>
      <c r="M2736" s="23" t="s">
        <v>66</v>
      </c>
    </row>
    <row r="2737" spans="12:13" x14ac:dyDescent="0.3">
      <c r="L2737" s="19" t="s">
        <v>621</v>
      </c>
      <c r="M2737" s="24" t="s">
        <v>66</v>
      </c>
    </row>
    <row r="2738" spans="12:13" x14ac:dyDescent="0.3">
      <c r="L2738" s="18" t="s">
        <v>1855</v>
      </c>
      <c r="M2738" s="23" t="s">
        <v>66</v>
      </c>
    </row>
    <row r="2739" spans="12:13" x14ac:dyDescent="0.3">
      <c r="L2739" s="19" t="s">
        <v>1856</v>
      </c>
      <c r="M2739" s="24" t="s">
        <v>66</v>
      </c>
    </row>
    <row r="2740" spans="12:13" x14ac:dyDescent="0.3">
      <c r="L2740" s="18" t="s">
        <v>1857</v>
      </c>
      <c r="M2740" s="23" t="s">
        <v>66</v>
      </c>
    </row>
    <row r="2741" spans="12:13" x14ac:dyDescent="0.3">
      <c r="L2741" s="19" t="s">
        <v>1858</v>
      </c>
      <c r="M2741" s="24" t="s">
        <v>66</v>
      </c>
    </row>
    <row r="2742" spans="12:13" x14ac:dyDescent="0.3">
      <c r="L2742" s="18" t="s">
        <v>1859</v>
      </c>
      <c r="M2742" s="23" t="s">
        <v>66</v>
      </c>
    </row>
    <row r="2743" spans="12:13" x14ac:dyDescent="0.3">
      <c r="L2743" s="19" t="s">
        <v>534</v>
      </c>
      <c r="M2743" s="24" t="s">
        <v>66</v>
      </c>
    </row>
    <row r="2744" spans="12:13" x14ac:dyDescent="0.3">
      <c r="L2744" s="18" t="s">
        <v>627</v>
      </c>
      <c r="M2744" s="23" t="s">
        <v>66</v>
      </c>
    </row>
    <row r="2745" spans="12:13" x14ac:dyDescent="0.3">
      <c r="L2745" s="19" t="s">
        <v>1860</v>
      </c>
      <c r="M2745" s="24" t="s">
        <v>66</v>
      </c>
    </row>
    <row r="2746" spans="12:13" x14ac:dyDescent="0.3">
      <c r="L2746" s="18" t="s">
        <v>1861</v>
      </c>
      <c r="M2746" s="23" t="s">
        <v>66</v>
      </c>
    </row>
    <row r="2747" spans="12:13" x14ac:dyDescent="0.3">
      <c r="L2747" s="19" t="s">
        <v>1862</v>
      </c>
      <c r="M2747" s="24" t="s">
        <v>66</v>
      </c>
    </row>
    <row r="2748" spans="12:13" x14ac:dyDescent="0.3">
      <c r="L2748" s="18" t="s">
        <v>1863</v>
      </c>
      <c r="M2748" s="23" t="s">
        <v>66</v>
      </c>
    </row>
    <row r="2749" spans="12:13" x14ac:dyDescent="0.3">
      <c r="L2749" s="19" t="s">
        <v>1864</v>
      </c>
      <c r="M2749" s="24" t="s">
        <v>66</v>
      </c>
    </row>
    <row r="2750" spans="12:13" x14ac:dyDescent="0.3">
      <c r="L2750" s="18" t="s">
        <v>416</v>
      </c>
      <c r="M2750" s="23" t="s">
        <v>66</v>
      </c>
    </row>
    <row r="2751" spans="12:13" x14ac:dyDescent="0.3">
      <c r="L2751" s="19" t="s">
        <v>1865</v>
      </c>
      <c r="M2751" s="24" t="s">
        <v>66</v>
      </c>
    </row>
    <row r="2752" spans="12:13" x14ac:dyDescent="0.3">
      <c r="L2752" s="18" t="s">
        <v>1866</v>
      </c>
      <c r="M2752" s="23" t="s">
        <v>66</v>
      </c>
    </row>
    <row r="2753" spans="12:13" x14ac:dyDescent="0.3">
      <c r="L2753" s="19" t="s">
        <v>1867</v>
      </c>
      <c r="M2753" s="24" t="s">
        <v>66</v>
      </c>
    </row>
    <row r="2754" spans="12:13" x14ac:dyDescent="0.3">
      <c r="L2754" s="18" t="s">
        <v>1868</v>
      </c>
      <c r="M2754" s="23" t="s">
        <v>66</v>
      </c>
    </row>
    <row r="2755" spans="12:13" x14ac:dyDescent="0.3">
      <c r="L2755" s="19" t="s">
        <v>1869</v>
      </c>
      <c r="M2755" s="24" t="s">
        <v>66</v>
      </c>
    </row>
    <row r="2756" spans="12:13" x14ac:dyDescent="0.3">
      <c r="L2756" s="18" t="s">
        <v>1870</v>
      </c>
      <c r="M2756" s="23" t="s">
        <v>66</v>
      </c>
    </row>
    <row r="2757" spans="12:13" x14ac:dyDescent="0.3">
      <c r="L2757" s="19" t="s">
        <v>1871</v>
      </c>
      <c r="M2757" s="24" t="s">
        <v>66</v>
      </c>
    </row>
    <row r="2758" spans="12:13" x14ac:dyDescent="0.3">
      <c r="L2758" s="18" t="s">
        <v>265</v>
      </c>
      <c r="M2758" s="23" t="s">
        <v>66</v>
      </c>
    </row>
    <row r="2759" spans="12:13" x14ac:dyDescent="0.3">
      <c r="L2759" s="19" t="s">
        <v>1872</v>
      </c>
      <c r="M2759" s="24" t="s">
        <v>66</v>
      </c>
    </row>
    <row r="2760" spans="12:13" x14ac:dyDescent="0.3">
      <c r="L2760" s="18" t="s">
        <v>1502</v>
      </c>
      <c r="M2760" s="23" t="s">
        <v>66</v>
      </c>
    </row>
    <row r="2761" spans="12:13" x14ac:dyDescent="0.3">
      <c r="L2761" s="19" t="s">
        <v>266</v>
      </c>
      <c r="M2761" s="24" t="s">
        <v>66</v>
      </c>
    </row>
    <row r="2762" spans="12:13" x14ac:dyDescent="0.3">
      <c r="L2762" s="18" t="s">
        <v>1873</v>
      </c>
      <c r="M2762" s="23" t="s">
        <v>66</v>
      </c>
    </row>
    <row r="2763" spans="12:13" x14ac:dyDescent="0.3">
      <c r="L2763" s="19" t="s">
        <v>1874</v>
      </c>
      <c r="M2763" s="24" t="s">
        <v>66</v>
      </c>
    </row>
    <row r="2764" spans="12:13" x14ac:dyDescent="0.3">
      <c r="L2764" s="18" t="s">
        <v>641</v>
      </c>
      <c r="M2764" s="23" t="s">
        <v>66</v>
      </c>
    </row>
    <row r="2765" spans="12:13" x14ac:dyDescent="0.3">
      <c r="L2765" s="19" t="s">
        <v>887</v>
      </c>
      <c r="M2765" s="24" t="s">
        <v>66</v>
      </c>
    </row>
    <row r="2766" spans="12:13" x14ac:dyDescent="0.3">
      <c r="L2766" s="18" t="s">
        <v>1875</v>
      </c>
      <c r="M2766" s="23" t="s">
        <v>66</v>
      </c>
    </row>
    <row r="2767" spans="12:13" x14ac:dyDescent="0.3">
      <c r="L2767" s="19" t="s">
        <v>1876</v>
      </c>
      <c r="M2767" s="24" t="s">
        <v>66</v>
      </c>
    </row>
    <row r="2768" spans="12:13" x14ac:dyDescent="0.3">
      <c r="L2768" s="18" t="s">
        <v>735</v>
      </c>
      <c r="M2768" s="23" t="s">
        <v>66</v>
      </c>
    </row>
    <row r="2769" spans="12:13" x14ac:dyDescent="0.3">
      <c r="L2769" s="19" t="s">
        <v>888</v>
      </c>
      <c r="M2769" s="24" t="s">
        <v>66</v>
      </c>
    </row>
    <row r="2770" spans="12:13" x14ac:dyDescent="0.3">
      <c r="L2770" s="18" t="s">
        <v>1877</v>
      </c>
      <c r="M2770" s="23" t="s">
        <v>66</v>
      </c>
    </row>
    <row r="2771" spans="12:13" x14ac:dyDescent="0.3">
      <c r="L2771" s="19" t="s">
        <v>1878</v>
      </c>
      <c r="M2771" s="24" t="s">
        <v>66</v>
      </c>
    </row>
    <row r="2772" spans="12:13" x14ac:dyDescent="0.3">
      <c r="L2772" s="18" t="s">
        <v>1537</v>
      </c>
      <c r="M2772" s="23" t="s">
        <v>66</v>
      </c>
    </row>
    <row r="2773" spans="12:13" x14ac:dyDescent="0.3">
      <c r="L2773" s="19" t="s">
        <v>1879</v>
      </c>
      <c r="M2773" s="24" t="s">
        <v>66</v>
      </c>
    </row>
    <row r="2774" spans="12:13" x14ac:dyDescent="0.3">
      <c r="L2774" s="18" t="s">
        <v>1880</v>
      </c>
      <c r="M2774" s="23" t="s">
        <v>66</v>
      </c>
    </row>
    <row r="2775" spans="12:13" x14ac:dyDescent="0.3">
      <c r="L2775" s="19" t="s">
        <v>1881</v>
      </c>
      <c r="M2775" s="24" t="s">
        <v>66</v>
      </c>
    </row>
    <row r="2776" spans="12:13" x14ac:dyDescent="0.3">
      <c r="L2776" s="18" t="s">
        <v>1882</v>
      </c>
      <c r="M2776" s="23" t="s">
        <v>66</v>
      </c>
    </row>
    <row r="2777" spans="12:13" x14ac:dyDescent="0.3">
      <c r="L2777" s="19" t="s">
        <v>1541</v>
      </c>
      <c r="M2777" s="24" t="s">
        <v>65</v>
      </c>
    </row>
    <row r="2778" spans="12:13" x14ac:dyDescent="0.3">
      <c r="L2778" s="18" t="s">
        <v>1883</v>
      </c>
      <c r="M2778" s="23" t="s">
        <v>65</v>
      </c>
    </row>
    <row r="2779" spans="12:13" x14ac:dyDescent="0.3">
      <c r="L2779" s="19" t="s">
        <v>1884</v>
      </c>
      <c r="M2779" s="24" t="s">
        <v>65</v>
      </c>
    </row>
    <row r="2780" spans="12:13" x14ac:dyDescent="0.3">
      <c r="L2780" s="18" t="s">
        <v>1251</v>
      </c>
      <c r="M2780" s="23" t="s">
        <v>65</v>
      </c>
    </row>
    <row r="2781" spans="12:13" x14ac:dyDescent="0.3">
      <c r="L2781" s="19" t="s">
        <v>1885</v>
      </c>
      <c r="M2781" s="24" t="s">
        <v>65</v>
      </c>
    </row>
    <row r="2782" spans="12:13" x14ac:dyDescent="0.3">
      <c r="L2782" s="18" t="s">
        <v>790</v>
      </c>
      <c r="M2782" s="23" t="s">
        <v>65</v>
      </c>
    </row>
    <row r="2783" spans="12:13" x14ac:dyDescent="0.3">
      <c r="L2783" s="19" t="s">
        <v>1886</v>
      </c>
      <c r="M2783" s="24" t="s">
        <v>65</v>
      </c>
    </row>
    <row r="2784" spans="12:13" x14ac:dyDescent="0.3">
      <c r="L2784" s="18" t="s">
        <v>1887</v>
      </c>
      <c r="M2784" s="23" t="s">
        <v>65</v>
      </c>
    </row>
    <row r="2785" spans="12:13" x14ac:dyDescent="0.3">
      <c r="L2785" s="19" t="s">
        <v>444</v>
      </c>
      <c r="M2785" s="24" t="s">
        <v>65</v>
      </c>
    </row>
    <row r="2786" spans="12:13" x14ac:dyDescent="0.3">
      <c r="L2786" s="18" t="s">
        <v>446</v>
      </c>
      <c r="M2786" s="23" t="s">
        <v>65</v>
      </c>
    </row>
    <row r="2787" spans="12:13" x14ac:dyDescent="0.3">
      <c r="L2787" s="19" t="s">
        <v>1073</v>
      </c>
      <c r="M2787" s="24" t="s">
        <v>65</v>
      </c>
    </row>
    <row r="2788" spans="12:13" x14ac:dyDescent="0.3">
      <c r="L2788" s="18" t="s">
        <v>1888</v>
      </c>
      <c r="M2788" s="23" t="s">
        <v>65</v>
      </c>
    </row>
    <row r="2789" spans="12:13" x14ac:dyDescent="0.3">
      <c r="L2789" s="19" t="s">
        <v>706</v>
      </c>
      <c r="M2789" s="24" t="s">
        <v>65</v>
      </c>
    </row>
    <row r="2790" spans="12:13" x14ac:dyDescent="0.3">
      <c r="L2790" s="18" t="s">
        <v>1889</v>
      </c>
      <c r="M2790" s="23" t="s">
        <v>65</v>
      </c>
    </row>
    <row r="2791" spans="12:13" x14ac:dyDescent="0.3">
      <c r="L2791" s="19" t="s">
        <v>253</v>
      </c>
      <c r="M2791" s="24" t="s">
        <v>65</v>
      </c>
    </row>
    <row r="2792" spans="12:13" x14ac:dyDescent="0.3">
      <c r="L2792" s="18" t="s">
        <v>1890</v>
      </c>
      <c r="M2792" s="23" t="s">
        <v>65</v>
      </c>
    </row>
    <row r="2793" spans="12:13" x14ac:dyDescent="0.3">
      <c r="L2793" s="19" t="s">
        <v>1891</v>
      </c>
      <c r="M2793" s="24" t="s">
        <v>65</v>
      </c>
    </row>
    <row r="2794" spans="12:13" x14ac:dyDescent="0.3">
      <c r="L2794" s="18" t="s">
        <v>1892</v>
      </c>
      <c r="M2794" s="23" t="s">
        <v>65</v>
      </c>
    </row>
    <row r="2795" spans="12:13" x14ac:dyDescent="0.3">
      <c r="L2795" s="19" t="s">
        <v>470</v>
      </c>
      <c r="M2795" s="24" t="s">
        <v>65</v>
      </c>
    </row>
    <row r="2796" spans="12:13" x14ac:dyDescent="0.3">
      <c r="L2796" s="18" t="s">
        <v>1893</v>
      </c>
      <c r="M2796" s="23" t="s">
        <v>65</v>
      </c>
    </row>
    <row r="2797" spans="12:13" x14ac:dyDescent="0.3">
      <c r="L2797" s="19" t="s">
        <v>358</v>
      </c>
      <c r="M2797" s="24" t="s">
        <v>65</v>
      </c>
    </row>
    <row r="2798" spans="12:13" x14ac:dyDescent="0.3">
      <c r="L2798" s="18" t="s">
        <v>473</v>
      </c>
      <c r="M2798" s="23" t="s">
        <v>65</v>
      </c>
    </row>
    <row r="2799" spans="12:13" x14ac:dyDescent="0.3">
      <c r="L2799" s="19" t="s">
        <v>1894</v>
      </c>
      <c r="M2799" s="24" t="s">
        <v>65</v>
      </c>
    </row>
    <row r="2800" spans="12:13" x14ac:dyDescent="0.3">
      <c r="L2800" s="18" t="s">
        <v>1895</v>
      </c>
      <c r="M2800" s="23" t="s">
        <v>65</v>
      </c>
    </row>
    <row r="2801" spans="12:13" x14ac:dyDescent="0.3">
      <c r="L2801" s="19" t="s">
        <v>1896</v>
      </c>
      <c r="M2801" s="24" t="s">
        <v>65</v>
      </c>
    </row>
    <row r="2802" spans="12:13" x14ac:dyDescent="0.3">
      <c r="L2802" s="18" t="s">
        <v>1897</v>
      </c>
      <c r="M2802" s="23" t="s">
        <v>65</v>
      </c>
    </row>
    <row r="2803" spans="12:13" x14ac:dyDescent="0.3">
      <c r="L2803" s="19" t="s">
        <v>266</v>
      </c>
      <c r="M2803" s="24" t="s">
        <v>65</v>
      </c>
    </row>
    <row r="2804" spans="12:13" x14ac:dyDescent="0.3">
      <c r="L2804" s="18" t="s">
        <v>639</v>
      </c>
      <c r="M2804" s="23" t="s">
        <v>65</v>
      </c>
    </row>
    <row r="2805" spans="12:13" x14ac:dyDescent="0.3">
      <c r="L2805" s="19" t="s">
        <v>1898</v>
      </c>
      <c r="M2805" s="24" t="s">
        <v>65</v>
      </c>
    </row>
    <row r="2806" spans="12:13" x14ac:dyDescent="0.3">
      <c r="L2806" s="18" t="s">
        <v>1899</v>
      </c>
      <c r="M2806" s="23" t="s">
        <v>64</v>
      </c>
    </row>
    <row r="2807" spans="12:13" x14ac:dyDescent="0.3">
      <c r="L2807" s="19" t="s">
        <v>1900</v>
      </c>
      <c r="M2807" s="24" t="s">
        <v>64</v>
      </c>
    </row>
    <row r="2808" spans="12:13" x14ac:dyDescent="0.3">
      <c r="L2808" s="18" t="s">
        <v>1901</v>
      </c>
      <c r="M2808" s="23" t="s">
        <v>64</v>
      </c>
    </row>
    <row r="2809" spans="12:13" x14ac:dyDescent="0.3">
      <c r="L2809" s="19" t="s">
        <v>1902</v>
      </c>
      <c r="M2809" s="24" t="s">
        <v>64</v>
      </c>
    </row>
    <row r="2810" spans="12:13" x14ac:dyDescent="0.3">
      <c r="L2810" s="18" t="s">
        <v>1041</v>
      </c>
      <c r="M2810" s="23" t="s">
        <v>64</v>
      </c>
    </row>
    <row r="2811" spans="12:13" x14ac:dyDescent="0.3">
      <c r="L2811" s="19" t="s">
        <v>231</v>
      </c>
      <c r="M2811" s="24" t="s">
        <v>64</v>
      </c>
    </row>
    <row r="2812" spans="12:13" x14ac:dyDescent="0.3">
      <c r="L2812" s="18" t="s">
        <v>1903</v>
      </c>
      <c r="M2812" s="23" t="s">
        <v>64</v>
      </c>
    </row>
    <row r="2813" spans="12:13" x14ac:dyDescent="0.3">
      <c r="L2813" s="19" t="s">
        <v>1904</v>
      </c>
      <c r="M2813" s="24" t="s">
        <v>64</v>
      </c>
    </row>
    <row r="2814" spans="12:13" x14ac:dyDescent="0.3">
      <c r="L2814" s="18" t="s">
        <v>394</v>
      </c>
      <c r="M2814" s="23" t="s">
        <v>64</v>
      </c>
    </row>
    <row r="2815" spans="12:13" x14ac:dyDescent="0.3">
      <c r="L2815" s="19" t="s">
        <v>1393</v>
      </c>
      <c r="M2815" s="24" t="s">
        <v>64</v>
      </c>
    </row>
    <row r="2816" spans="12:13" x14ac:dyDescent="0.3">
      <c r="L2816" s="18" t="s">
        <v>1905</v>
      </c>
      <c r="M2816" s="23" t="s">
        <v>64</v>
      </c>
    </row>
    <row r="2817" spans="12:13" x14ac:dyDescent="0.3">
      <c r="L2817" s="19" t="s">
        <v>266</v>
      </c>
      <c r="M2817" s="24" t="s">
        <v>64</v>
      </c>
    </row>
    <row r="2818" spans="12:13" x14ac:dyDescent="0.3">
      <c r="L2818" s="18" t="s">
        <v>483</v>
      </c>
      <c r="M2818" s="23" t="s">
        <v>64</v>
      </c>
    </row>
    <row r="2819" spans="12:13" x14ac:dyDescent="0.3">
      <c r="L2819" s="19" t="s">
        <v>1906</v>
      </c>
      <c r="M2819" s="24" t="s">
        <v>64</v>
      </c>
    </row>
    <row r="2820" spans="12:13" x14ac:dyDescent="0.3">
      <c r="L2820" s="18" t="s">
        <v>1907</v>
      </c>
      <c r="M2820" s="23" t="s">
        <v>63</v>
      </c>
    </row>
    <row r="2821" spans="12:13" x14ac:dyDescent="0.3">
      <c r="L2821" s="19" t="s">
        <v>1908</v>
      </c>
      <c r="M2821" s="24" t="s">
        <v>63</v>
      </c>
    </row>
    <row r="2822" spans="12:13" x14ac:dyDescent="0.3">
      <c r="L2822" s="18" t="s">
        <v>1410</v>
      </c>
      <c r="M2822" s="23" t="s">
        <v>63</v>
      </c>
    </row>
    <row r="2823" spans="12:13" x14ac:dyDescent="0.3">
      <c r="L2823" s="19" t="s">
        <v>1909</v>
      </c>
      <c r="M2823" s="24" t="s">
        <v>63</v>
      </c>
    </row>
    <row r="2824" spans="12:13" x14ac:dyDescent="0.3">
      <c r="L2824" s="18" t="s">
        <v>1910</v>
      </c>
      <c r="M2824" s="23" t="s">
        <v>63</v>
      </c>
    </row>
    <row r="2825" spans="12:13" x14ac:dyDescent="0.3">
      <c r="L2825" s="19" t="s">
        <v>1911</v>
      </c>
      <c r="M2825" s="24" t="s">
        <v>63</v>
      </c>
    </row>
    <row r="2826" spans="12:13" x14ac:dyDescent="0.3">
      <c r="L2826" s="18" t="s">
        <v>1912</v>
      </c>
      <c r="M2826" s="23" t="s">
        <v>63</v>
      </c>
    </row>
    <row r="2827" spans="12:13" x14ac:dyDescent="0.3">
      <c r="L2827" s="19" t="s">
        <v>1913</v>
      </c>
      <c r="M2827" s="24" t="s">
        <v>63</v>
      </c>
    </row>
    <row r="2828" spans="12:13" x14ac:dyDescent="0.3">
      <c r="L2828" s="18" t="s">
        <v>893</v>
      </c>
      <c r="M2828" s="23" t="s">
        <v>63</v>
      </c>
    </row>
    <row r="2829" spans="12:13" x14ac:dyDescent="0.3">
      <c r="L2829" s="19" t="s">
        <v>1599</v>
      </c>
      <c r="M2829" s="24" t="s">
        <v>63</v>
      </c>
    </row>
    <row r="2830" spans="12:13" x14ac:dyDescent="0.3">
      <c r="L2830" s="18" t="s">
        <v>1914</v>
      </c>
      <c r="M2830" s="23" t="s">
        <v>63</v>
      </c>
    </row>
    <row r="2831" spans="12:13" x14ac:dyDescent="0.3">
      <c r="L2831" s="19" t="s">
        <v>1915</v>
      </c>
      <c r="M2831" s="24" t="s">
        <v>63</v>
      </c>
    </row>
    <row r="2832" spans="12:13" x14ac:dyDescent="0.3">
      <c r="L2832" s="18" t="s">
        <v>1417</v>
      </c>
      <c r="M2832" s="23" t="s">
        <v>63</v>
      </c>
    </row>
    <row r="2833" spans="12:13" x14ac:dyDescent="0.3">
      <c r="L2833" s="19" t="s">
        <v>785</v>
      </c>
      <c r="M2833" s="24" t="s">
        <v>63</v>
      </c>
    </row>
    <row r="2834" spans="12:13" x14ac:dyDescent="0.3">
      <c r="L2834" s="18" t="s">
        <v>1916</v>
      </c>
      <c r="M2834" s="23" t="s">
        <v>63</v>
      </c>
    </row>
    <row r="2835" spans="12:13" x14ac:dyDescent="0.3">
      <c r="L2835" s="19" t="s">
        <v>903</v>
      </c>
      <c r="M2835" s="24" t="s">
        <v>63</v>
      </c>
    </row>
    <row r="2836" spans="12:13" x14ac:dyDescent="0.3">
      <c r="L2836" s="18" t="s">
        <v>1024</v>
      </c>
      <c r="M2836" s="23" t="s">
        <v>63</v>
      </c>
    </row>
    <row r="2837" spans="12:13" x14ac:dyDescent="0.3">
      <c r="L2837" s="19" t="s">
        <v>315</v>
      </c>
      <c r="M2837" s="24" t="s">
        <v>63</v>
      </c>
    </row>
    <row r="2838" spans="12:13" x14ac:dyDescent="0.3">
      <c r="L2838" s="18" t="s">
        <v>1917</v>
      </c>
      <c r="M2838" s="23" t="s">
        <v>63</v>
      </c>
    </row>
    <row r="2839" spans="12:13" x14ac:dyDescent="0.3">
      <c r="L2839" s="19" t="s">
        <v>495</v>
      </c>
      <c r="M2839" s="24" t="s">
        <v>63</v>
      </c>
    </row>
    <row r="2840" spans="12:13" x14ac:dyDescent="0.3">
      <c r="L2840" s="18" t="s">
        <v>1639</v>
      </c>
      <c r="M2840" s="23" t="s">
        <v>63</v>
      </c>
    </row>
    <row r="2841" spans="12:13" x14ac:dyDescent="0.3">
      <c r="L2841" s="19" t="s">
        <v>214</v>
      </c>
      <c r="M2841" s="24" t="s">
        <v>63</v>
      </c>
    </row>
    <row r="2842" spans="12:13" x14ac:dyDescent="0.3">
      <c r="L2842" s="18" t="s">
        <v>1548</v>
      </c>
      <c r="M2842" s="23" t="s">
        <v>63</v>
      </c>
    </row>
    <row r="2843" spans="12:13" x14ac:dyDescent="0.3">
      <c r="L2843" s="19" t="s">
        <v>1918</v>
      </c>
      <c r="M2843" s="24" t="s">
        <v>63</v>
      </c>
    </row>
    <row r="2844" spans="12:13" x14ac:dyDescent="0.3">
      <c r="L2844" s="18" t="s">
        <v>693</v>
      </c>
      <c r="M2844" s="23" t="s">
        <v>63</v>
      </c>
    </row>
    <row r="2845" spans="12:13" x14ac:dyDescent="0.3">
      <c r="L2845" s="19" t="s">
        <v>1919</v>
      </c>
      <c r="M2845" s="24" t="s">
        <v>63</v>
      </c>
    </row>
    <row r="2846" spans="12:13" x14ac:dyDescent="0.3">
      <c r="L2846" s="18" t="s">
        <v>1920</v>
      </c>
      <c r="M2846" s="23" t="s">
        <v>63</v>
      </c>
    </row>
    <row r="2847" spans="12:13" x14ac:dyDescent="0.3">
      <c r="L2847" s="19" t="s">
        <v>1041</v>
      </c>
      <c r="M2847" s="24" t="s">
        <v>63</v>
      </c>
    </row>
    <row r="2848" spans="12:13" x14ac:dyDescent="0.3">
      <c r="L2848" s="18" t="s">
        <v>1921</v>
      </c>
      <c r="M2848" s="23" t="s">
        <v>63</v>
      </c>
    </row>
    <row r="2849" spans="12:13" x14ac:dyDescent="0.3">
      <c r="L2849" s="19" t="s">
        <v>1922</v>
      </c>
      <c r="M2849" s="24" t="s">
        <v>63</v>
      </c>
    </row>
    <row r="2850" spans="12:13" x14ac:dyDescent="0.3">
      <c r="L2850" s="18" t="s">
        <v>579</v>
      </c>
      <c r="M2850" s="23" t="s">
        <v>63</v>
      </c>
    </row>
    <row r="2851" spans="12:13" x14ac:dyDescent="0.3">
      <c r="L2851" s="19" t="s">
        <v>1923</v>
      </c>
      <c r="M2851" s="24" t="s">
        <v>63</v>
      </c>
    </row>
    <row r="2852" spans="12:13" x14ac:dyDescent="0.3">
      <c r="L2852" s="18" t="s">
        <v>231</v>
      </c>
      <c r="M2852" s="23" t="s">
        <v>63</v>
      </c>
    </row>
    <row r="2853" spans="12:13" x14ac:dyDescent="0.3">
      <c r="L2853" s="19" t="s">
        <v>1028</v>
      </c>
      <c r="M2853" s="24" t="s">
        <v>63</v>
      </c>
    </row>
    <row r="2854" spans="12:13" x14ac:dyDescent="0.3">
      <c r="L2854" s="18" t="s">
        <v>1704</v>
      </c>
      <c r="M2854" s="23" t="s">
        <v>63</v>
      </c>
    </row>
    <row r="2855" spans="12:13" x14ac:dyDescent="0.3">
      <c r="L2855" s="19" t="s">
        <v>1347</v>
      </c>
      <c r="M2855" s="24" t="s">
        <v>63</v>
      </c>
    </row>
    <row r="2856" spans="12:13" x14ac:dyDescent="0.3">
      <c r="L2856" s="18" t="s">
        <v>1924</v>
      </c>
      <c r="M2856" s="23" t="s">
        <v>63</v>
      </c>
    </row>
    <row r="2857" spans="12:13" x14ac:dyDescent="0.3">
      <c r="L2857" s="19" t="s">
        <v>913</v>
      </c>
      <c r="M2857" s="24" t="s">
        <v>63</v>
      </c>
    </row>
    <row r="2858" spans="12:13" x14ac:dyDescent="0.3">
      <c r="L2858" s="18" t="s">
        <v>233</v>
      </c>
      <c r="M2858" s="23" t="s">
        <v>63</v>
      </c>
    </row>
    <row r="2859" spans="12:13" x14ac:dyDescent="0.3">
      <c r="L2859" s="19" t="s">
        <v>1925</v>
      </c>
      <c r="M2859" s="24" t="s">
        <v>63</v>
      </c>
    </row>
    <row r="2860" spans="12:13" x14ac:dyDescent="0.3">
      <c r="L2860" s="18" t="s">
        <v>1437</v>
      </c>
      <c r="M2860" s="23" t="s">
        <v>63</v>
      </c>
    </row>
    <row r="2861" spans="12:13" x14ac:dyDescent="0.3">
      <c r="L2861" s="19" t="s">
        <v>1926</v>
      </c>
      <c r="M2861" s="24" t="s">
        <v>63</v>
      </c>
    </row>
    <row r="2862" spans="12:13" x14ac:dyDescent="0.3">
      <c r="L2862" s="18" t="s">
        <v>1927</v>
      </c>
      <c r="M2862" s="23" t="s">
        <v>63</v>
      </c>
    </row>
    <row r="2863" spans="12:13" x14ac:dyDescent="0.3">
      <c r="L2863" s="19" t="s">
        <v>235</v>
      </c>
      <c r="M2863" s="24" t="s">
        <v>63</v>
      </c>
    </row>
    <row r="2864" spans="12:13" x14ac:dyDescent="0.3">
      <c r="L2864" s="18" t="s">
        <v>1518</v>
      </c>
      <c r="M2864" s="23" t="s">
        <v>63</v>
      </c>
    </row>
    <row r="2865" spans="12:13" x14ac:dyDescent="0.3">
      <c r="L2865" s="19" t="s">
        <v>1928</v>
      </c>
      <c r="M2865" s="24" t="s">
        <v>63</v>
      </c>
    </row>
    <row r="2866" spans="12:13" x14ac:dyDescent="0.3">
      <c r="L2866" s="18" t="s">
        <v>1929</v>
      </c>
      <c r="M2866" s="23" t="s">
        <v>63</v>
      </c>
    </row>
    <row r="2867" spans="12:13" x14ac:dyDescent="0.3">
      <c r="L2867" s="19" t="s">
        <v>1930</v>
      </c>
      <c r="M2867" s="24" t="s">
        <v>63</v>
      </c>
    </row>
    <row r="2868" spans="12:13" x14ac:dyDescent="0.3">
      <c r="L2868" s="18" t="s">
        <v>1931</v>
      </c>
      <c r="M2868" s="23" t="s">
        <v>63</v>
      </c>
    </row>
    <row r="2869" spans="12:13" x14ac:dyDescent="0.3">
      <c r="L2869" s="19" t="s">
        <v>1932</v>
      </c>
      <c r="M2869" s="24" t="s">
        <v>63</v>
      </c>
    </row>
    <row r="2870" spans="12:13" x14ac:dyDescent="0.3">
      <c r="L2870" s="18" t="s">
        <v>1310</v>
      </c>
      <c r="M2870" s="23" t="s">
        <v>63</v>
      </c>
    </row>
    <row r="2871" spans="12:13" x14ac:dyDescent="0.3">
      <c r="L2871" s="19" t="s">
        <v>242</v>
      </c>
      <c r="M2871" s="24" t="s">
        <v>63</v>
      </c>
    </row>
    <row r="2872" spans="12:13" x14ac:dyDescent="0.3">
      <c r="L2872" s="18" t="s">
        <v>1933</v>
      </c>
      <c r="M2872" s="23" t="s">
        <v>63</v>
      </c>
    </row>
    <row r="2873" spans="12:13" x14ac:dyDescent="0.3">
      <c r="L2873" s="19" t="s">
        <v>801</v>
      </c>
      <c r="M2873" s="24" t="s">
        <v>63</v>
      </c>
    </row>
    <row r="2874" spans="12:13" x14ac:dyDescent="0.3">
      <c r="L2874" s="18" t="s">
        <v>1934</v>
      </c>
      <c r="M2874" s="23" t="s">
        <v>63</v>
      </c>
    </row>
    <row r="2875" spans="12:13" x14ac:dyDescent="0.3">
      <c r="L2875" s="19" t="s">
        <v>246</v>
      </c>
      <c r="M2875" s="24" t="s">
        <v>63</v>
      </c>
    </row>
    <row r="2876" spans="12:13" x14ac:dyDescent="0.3">
      <c r="L2876" s="18" t="s">
        <v>1935</v>
      </c>
      <c r="M2876" s="23" t="s">
        <v>63</v>
      </c>
    </row>
    <row r="2877" spans="12:13" x14ac:dyDescent="0.3">
      <c r="L2877" s="19" t="s">
        <v>1447</v>
      </c>
      <c r="M2877" s="24" t="s">
        <v>63</v>
      </c>
    </row>
    <row r="2878" spans="12:13" x14ac:dyDescent="0.3">
      <c r="L2878" s="18" t="s">
        <v>479</v>
      </c>
      <c r="M2878" s="23" t="s">
        <v>63</v>
      </c>
    </row>
    <row r="2879" spans="12:13" x14ac:dyDescent="0.3">
      <c r="L2879" s="19" t="s">
        <v>252</v>
      </c>
      <c r="M2879" s="24" t="s">
        <v>63</v>
      </c>
    </row>
    <row r="2880" spans="12:13" x14ac:dyDescent="0.3">
      <c r="L2880" s="18" t="s">
        <v>932</v>
      </c>
      <c r="M2880" s="23" t="s">
        <v>63</v>
      </c>
    </row>
    <row r="2881" spans="12:13" x14ac:dyDescent="0.3">
      <c r="L2881" s="19" t="s">
        <v>1936</v>
      </c>
      <c r="M2881" s="24" t="s">
        <v>63</v>
      </c>
    </row>
    <row r="2882" spans="12:13" x14ac:dyDescent="0.3">
      <c r="L2882" s="18" t="s">
        <v>1451</v>
      </c>
      <c r="M2882" s="23" t="s">
        <v>63</v>
      </c>
    </row>
    <row r="2883" spans="12:13" x14ac:dyDescent="0.3">
      <c r="L2883" s="19" t="s">
        <v>1622</v>
      </c>
      <c r="M2883" s="24" t="s">
        <v>63</v>
      </c>
    </row>
    <row r="2884" spans="12:13" x14ac:dyDescent="0.3">
      <c r="L2884" s="18" t="s">
        <v>1937</v>
      </c>
      <c r="M2884" s="23" t="s">
        <v>63</v>
      </c>
    </row>
    <row r="2885" spans="12:13" x14ac:dyDescent="0.3">
      <c r="L2885" s="19" t="s">
        <v>394</v>
      </c>
      <c r="M2885" s="24" t="s">
        <v>63</v>
      </c>
    </row>
    <row r="2886" spans="12:13" x14ac:dyDescent="0.3">
      <c r="L2886" s="18" t="s">
        <v>809</v>
      </c>
      <c r="M2886" s="23" t="s">
        <v>63</v>
      </c>
    </row>
    <row r="2887" spans="12:13" x14ac:dyDescent="0.3">
      <c r="L2887" s="19" t="s">
        <v>1938</v>
      </c>
      <c r="M2887" s="24" t="s">
        <v>63</v>
      </c>
    </row>
    <row r="2888" spans="12:13" x14ac:dyDescent="0.3">
      <c r="L2888" s="18" t="s">
        <v>1939</v>
      </c>
      <c r="M2888" s="23" t="s">
        <v>63</v>
      </c>
    </row>
    <row r="2889" spans="12:13" x14ac:dyDescent="0.3">
      <c r="L2889" s="19" t="s">
        <v>1940</v>
      </c>
      <c r="M2889" s="24" t="s">
        <v>63</v>
      </c>
    </row>
    <row r="2890" spans="12:13" x14ac:dyDescent="0.3">
      <c r="L2890" s="18" t="s">
        <v>1941</v>
      </c>
      <c r="M2890" s="23" t="s">
        <v>63</v>
      </c>
    </row>
    <row r="2891" spans="12:13" x14ac:dyDescent="0.3">
      <c r="L2891" s="19" t="s">
        <v>1942</v>
      </c>
      <c r="M2891" s="24" t="s">
        <v>63</v>
      </c>
    </row>
    <row r="2892" spans="12:13" x14ac:dyDescent="0.3">
      <c r="L2892" s="18" t="s">
        <v>1943</v>
      </c>
      <c r="M2892" s="23" t="s">
        <v>63</v>
      </c>
    </row>
    <row r="2893" spans="12:13" x14ac:dyDescent="0.3">
      <c r="L2893" s="19" t="s">
        <v>352</v>
      </c>
      <c r="M2893" s="24" t="s">
        <v>63</v>
      </c>
    </row>
    <row r="2894" spans="12:13" x14ac:dyDescent="0.3">
      <c r="L2894" s="18" t="s">
        <v>1944</v>
      </c>
      <c r="M2894" s="23" t="s">
        <v>63</v>
      </c>
    </row>
    <row r="2895" spans="12:13" x14ac:dyDescent="0.3">
      <c r="L2895" s="19" t="s">
        <v>616</v>
      </c>
      <c r="M2895" s="24" t="s">
        <v>63</v>
      </c>
    </row>
    <row r="2896" spans="12:13" x14ac:dyDescent="0.3">
      <c r="L2896" s="18" t="s">
        <v>1945</v>
      </c>
      <c r="M2896" s="23" t="s">
        <v>63</v>
      </c>
    </row>
    <row r="2897" spans="12:13" x14ac:dyDescent="0.3">
      <c r="L2897" s="19" t="s">
        <v>1946</v>
      </c>
      <c r="M2897" s="24" t="s">
        <v>63</v>
      </c>
    </row>
    <row r="2898" spans="12:13" x14ac:dyDescent="0.3">
      <c r="L2898" s="18" t="s">
        <v>1341</v>
      </c>
      <c r="M2898" s="23" t="s">
        <v>63</v>
      </c>
    </row>
    <row r="2899" spans="12:13" x14ac:dyDescent="0.3">
      <c r="L2899" s="19" t="s">
        <v>258</v>
      </c>
      <c r="M2899" s="24" t="s">
        <v>63</v>
      </c>
    </row>
    <row r="2900" spans="12:13" x14ac:dyDescent="0.3">
      <c r="L2900" s="18" t="s">
        <v>355</v>
      </c>
      <c r="M2900" s="23" t="s">
        <v>63</v>
      </c>
    </row>
    <row r="2901" spans="12:13" x14ac:dyDescent="0.3">
      <c r="L2901" s="19" t="s">
        <v>1947</v>
      </c>
      <c r="M2901" s="24" t="s">
        <v>63</v>
      </c>
    </row>
    <row r="2902" spans="12:13" x14ac:dyDescent="0.3">
      <c r="L2902" s="18" t="s">
        <v>1948</v>
      </c>
      <c r="M2902" s="23" t="s">
        <v>63</v>
      </c>
    </row>
    <row r="2903" spans="12:13" x14ac:dyDescent="0.3">
      <c r="L2903" s="19" t="s">
        <v>1949</v>
      </c>
      <c r="M2903" s="24" t="s">
        <v>63</v>
      </c>
    </row>
    <row r="2904" spans="12:13" x14ac:dyDescent="0.3">
      <c r="L2904" s="18" t="s">
        <v>1950</v>
      </c>
      <c r="M2904" s="23" t="s">
        <v>63</v>
      </c>
    </row>
    <row r="2905" spans="12:13" x14ac:dyDescent="0.3">
      <c r="L2905" s="19" t="s">
        <v>880</v>
      </c>
      <c r="M2905" s="24" t="s">
        <v>63</v>
      </c>
    </row>
    <row r="2906" spans="12:13" x14ac:dyDescent="0.3">
      <c r="L2906" s="18" t="s">
        <v>1464</v>
      </c>
      <c r="M2906" s="23" t="s">
        <v>63</v>
      </c>
    </row>
    <row r="2907" spans="12:13" x14ac:dyDescent="0.3">
      <c r="L2907" s="19" t="s">
        <v>486</v>
      </c>
      <c r="M2907" s="24" t="s">
        <v>63</v>
      </c>
    </row>
    <row r="2908" spans="12:13" x14ac:dyDescent="0.3">
      <c r="L2908" s="18" t="s">
        <v>730</v>
      </c>
      <c r="M2908" s="23" t="s">
        <v>63</v>
      </c>
    </row>
    <row r="2909" spans="12:13" x14ac:dyDescent="0.3">
      <c r="L2909" s="19" t="s">
        <v>638</v>
      </c>
      <c r="M2909" s="24" t="s">
        <v>63</v>
      </c>
    </row>
    <row r="2910" spans="12:13" x14ac:dyDescent="0.3">
      <c r="L2910" s="18" t="s">
        <v>266</v>
      </c>
      <c r="M2910" s="23" t="s">
        <v>63</v>
      </c>
    </row>
    <row r="2911" spans="12:13" x14ac:dyDescent="0.3">
      <c r="L2911" s="19" t="s">
        <v>1629</v>
      </c>
      <c r="M2911" s="24" t="s">
        <v>63</v>
      </c>
    </row>
    <row r="2912" spans="12:13" x14ac:dyDescent="0.3">
      <c r="L2912" s="18" t="s">
        <v>1878</v>
      </c>
      <c r="M2912" s="23" t="s">
        <v>63</v>
      </c>
    </row>
    <row r="2913" spans="12:13" x14ac:dyDescent="0.3">
      <c r="L2913" s="19" t="s">
        <v>1951</v>
      </c>
      <c r="M2913" s="24" t="s">
        <v>63</v>
      </c>
    </row>
    <row r="2914" spans="12:13" x14ac:dyDescent="0.3">
      <c r="L2914" s="18" t="s">
        <v>1019</v>
      </c>
      <c r="M2914" s="23" t="s">
        <v>63</v>
      </c>
    </row>
    <row r="2915" spans="12:13" x14ac:dyDescent="0.3">
      <c r="L2915" s="19" t="s">
        <v>1952</v>
      </c>
      <c r="M2915" s="24" t="s">
        <v>63</v>
      </c>
    </row>
    <row r="2916" spans="12:13" x14ac:dyDescent="0.3">
      <c r="L2916" s="18" t="s">
        <v>1953</v>
      </c>
      <c r="M2916" s="23" t="s">
        <v>63</v>
      </c>
    </row>
    <row r="2917" spans="12:13" x14ac:dyDescent="0.3">
      <c r="L2917" s="19" t="s">
        <v>1954</v>
      </c>
      <c r="M2917" s="24" t="s">
        <v>63</v>
      </c>
    </row>
    <row r="2918" spans="12:13" x14ac:dyDescent="0.3">
      <c r="L2918" s="18" t="s">
        <v>1955</v>
      </c>
      <c r="M2918" s="23" t="s">
        <v>63</v>
      </c>
    </row>
    <row r="2919" spans="12:13" x14ac:dyDescent="0.3">
      <c r="L2919" s="19" t="s">
        <v>1956</v>
      </c>
      <c r="M2919" s="24" t="s">
        <v>63</v>
      </c>
    </row>
    <row r="2920" spans="12:13" x14ac:dyDescent="0.3">
      <c r="L2920" s="18" t="s">
        <v>1957</v>
      </c>
      <c r="M2920" s="23" t="s">
        <v>63</v>
      </c>
    </row>
    <row r="2921" spans="12:13" x14ac:dyDescent="0.3">
      <c r="L2921" s="19" t="s">
        <v>1958</v>
      </c>
      <c r="M2921" s="24" t="s">
        <v>63</v>
      </c>
    </row>
    <row r="2922" spans="12:13" x14ac:dyDescent="0.3">
      <c r="L2922" s="18" t="s">
        <v>1959</v>
      </c>
      <c r="M2922" s="23" t="s">
        <v>63</v>
      </c>
    </row>
    <row r="2923" spans="12:13" x14ac:dyDescent="0.3">
      <c r="L2923" s="19" t="s">
        <v>1960</v>
      </c>
      <c r="M2923" s="24" t="s">
        <v>63</v>
      </c>
    </row>
    <row r="2924" spans="12:13" x14ac:dyDescent="0.3">
      <c r="L2924" s="18" t="s">
        <v>1961</v>
      </c>
      <c r="M2924" s="23" t="s">
        <v>63</v>
      </c>
    </row>
    <row r="2925" spans="12:13" x14ac:dyDescent="0.3">
      <c r="L2925" s="19" t="s">
        <v>1962</v>
      </c>
      <c r="M2925" s="24" t="s">
        <v>63</v>
      </c>
    </row>
    <row r="2926" spans="12:13" x14ac:dyDescent="0.3">
      <c r="L2926" s="18" t="s">
        <v>1963</v>
      </c>
      <c r="M2926" s="23" t="s">
        <v>63</v>
      </c>
    </row>
    <row r="2927" spans="12:13" x14ac:dyDescent="0.3">
      <c r="L2927" s="19" t="s">
        <v>1964</v>
      </c>
      <c r="M2927" s="24" t="s">
        <v>63</v>
      </c>
    </row>
    <row r="2928" spans="12:13" x14ac:dyDescent="0.3">
      <c r="L2928" s="18" t="s">
        <v>1965</v>
      </c>
      <c r="M2928" s="23" t="s">
        <v>63</v>
      </c>
    </row>
    <row r="2929" spans="12:13" x14ac:dyDescent="0.3">
      <c r="L2929" s="19" t="s">
        <v>1966</v>
      </c>
      <c r="M2929" s="24" t="s">
        <v>63</v>
      </c>
    </row>
    <row r="2930" spans="12:13" x14ac:dyDescent="0.3">
      <c r="L2930" s="18" t="s">
        <v>1967</v>
      </c>
      <c r="M2930" s="23" t="s">
        <v>63</v>
      </c>
    </row>
    <row r="2931" spans="12:13" x14ac:dyDescent="0.3">
      <c r="L2931" s="19" t="s">
        <v>1968</v>
      </c>
      <c r="M2931" s="24" t="s">
        <v>63</v>
      </c>
    </row>
    <row r="2932" spans="12:13" x14ac:dyDescent="0.3">
      <c r="L2932" s="18" t="s">
        <v>1969</v>
      </c>
      <c r="M2932" s="23" t="s">
        <v>63</v>
      </c>
    </row>
    <row r="2933" spans="12:13" x14ac:dyDescent="0.3">
      <c r="L2933" s="19" t="s">
        <v>1970</v>
      </c>
      <c r="M2933" s="24" t="s">
        <v>63</v>
      </c>
    </row>
    <row r="2934" spans="12:13" x14ac:dyDescent="0.3">
      <c r="L2934" s="18" t="s">
        <v>1971</v>
      </c>
      <c r="M2934" s="23" t="s">
        <v>63</v>
      </c>
    </row>
    <row r="2935" spans="12:13" x14ac:dyDescent="0.3">
      <c r="L2935" s="19" t="s">
        <v>1972</v>
      </c>
      <c r="M2935" s="24" t="s">
        <v>63</v>
      </c>
    </row>
    <row r="2936" spans="12:13" x14ac:dyDescent="0.3">
      <c r="L2936" s="18" t="s">
        <v>1973</v>
      </c>
      <c r="M2936" s="23" t="s">
        <v>63</v>
      </c>
    </row>
    <row r="2937" spans="12:13" x14ac:dyDescent="0.3">
      <c r="L2937" s="19" t="s">
        <v>1974</v>
      </c>
      <c r="M2937" s="24" t="s">
        <v>63</v>
      </c>
    </row>
    <row r="2938" spans="12:13" x14ac:dyDescent="0.3">
      <c r="L2938" s="18" t="s">
        <v>1975</v>
      </c>
      <c r="M2938" s="23" t="s">
        <v>63</v>
      </c>
    </row>
    <row r="2939" spans="12:13" x14ac:dyDescent="0.3">
      <c r="L2939" s="19" t="s">
        <v>1976</v>
      </c>
      <c r="M2939" s="24" t="s">
        <v>63</v>
      </c>
    </row>
    <row r="2940" spans="12:13" x14ac:dyDescent="0.3">
      <c r="L2940" s="18" t="s">
        <v>1977</v>
      </c>
      <c r="M2940" s="23" t="s">
        <v>63</v>
      </c>
    </row>
    <row r="2941" spans="12:13" x14ac:dyDescent="0.3">
      <c r="L2941" s="19" t="s">
        <v>1978</v>
      </c>
      <c r="M2941" s="24" t="s">
        <v>63</v>
      </c>
    </row>
    <row r="2942" spans="12:13" x14ac:dyDescent="0.3">
      <c r="L2942" s="18" t="s">
        <v>1979</v>
      </c>
      <c r="M2942" s="23" t="s">
        <v>63</v>
      </c>
    </row>
    <row r="2943" spans="12:13" x14ac:dyDescent="0.3">
      <c r="L2943" s="19" t="s">
        <v>1980</v>
      </c>
      <c r="M2943" s="24" t="s">
        <v>63</v>
      </c>
    </row>
    <row r="2944" spans="12:13" x14ac:dyDescent="0.3">
      <c r="L2944" s="18" t="s">
        <v>1981</v>
      </c>
      <c r="M2944" s="23" t="s">
        <v>63</v>
      </c>
    </row>
    <row r="2945" spans="12:13" x14ac:dyDescent="0.3">
      <c r="L2945" s="19" t="s">
        <v>1982</v>
      </c>
      <c r="M2945" s="24" t="s">
        <v>63</v>
      </c>
    </row>
    <row r="2946" spans="12:13" x14ac:dyDescent="0.3">
      <c r="L2946" s="18" t="s">
        <v>1983</v>
      </c>
      <c r="M2946" s="23" t="s">
        <v>63</v>
      </c>
    </row>
    <row r="2947" spans="12:13" x14ac:dyDescent="0.3">
      <c r="L2947" s="19" t="s">
        <v>1984</v>
      </c>
      <c r="M2947" s="24" t="s">
        <v>63</v>
      </c>
    </row>
    <row r="2948" spans="12:13" x14ac:dyDescent="0.3">
      <c r="L2948" s="18" t="s">
        <v>1985</v>
      </c>
      <c r="M2948" s="23" t="s">
        <v>63</v>
      </c>
    </row>
    <row r="2949" spans="12:13" x14ac:dyDescent="0.3">
      <c r="L2949" s="19" t="s">
        <v>1986</v>
      </c>
      <c r="M2949" s="24" t="s">
        <v>63</v>
      </c>
    </row>
    <row r="2950" spans="12:13" x14ac:dyDescent="0.3">
      <c r="L2950" s="18" t="s">
        <v>1987</v>
      </c>
      <c r="M2950" s="23" t="s">
        <v>63</v>
      </c>
    </row>
    <row r="2951" spans="12:13" x14ac:dyDescent="0.3">
      <c r="L2951" s="19" t="s">
        <v>1988</v>
      </c>
      <c r="M2951" s="24" t="s">
        <v>63</v>
      </c>
    </row>
    <row r="2952" spans="12:13" x14ac:dyDescent="0.3">
      <c r="L2952" s="18" t="s">
        <v>1989</v>
      </c>
      <c r="M2952" s="23" t="s">
        <v>63</v>
      </c>
    </row>
    <row r="2953" spans="12:13" x14ac:dyDescent="0.3">
      <c r="L2953" s="19" t="s">
        <v>1990</v>
      </c>
      <c r="M2953" s="24" t="s">
        <v>63</v>
      </c>
    </row>
    <row r="2954" spans="12:13" x14ac:dyDescent="0.3">
      <c r="L2954" s="18" t="s">
        <v>1991</v>
      </c>
      <c r="M2954" s="23" t="s">
        <v>63</v>
      </c>
    </row>
    <row r="2955" spans="12:13" x14ac:dyDescent="0.3">
      <c r="L2955" s="19" t="s">
        <v>1992</v>
      </c>
      <c r="M2955" s="24" t="s">
        <v>63</v>
      </c>
    </row>
    <row r="2956" spans="12:13" x14ac:dyDescent="0.3">
      <c r="L2956" s="18" t="s">
        <v>422</v>
      </c>
      <c r="M2956" s="23" t="s">
        <v>62</v>
      </c>
    </row>
    <row r="2957" spans="12:13" x14ac:dyDescent="0.3">
      <c r="L2957" s="19" t="s">
        <v>1993</v>
      </c>
      <c r="M2957" s="24" t="s">
        <v>62</v>
      </c>
    </row>
    <row r="2958" spans="12:13" x14ac:dyDescent="0.3">
      <c r="L2958" s="18" t="s">
        <v>312</v>
      </c>
      <c r="M2958" s="23" t="s">
        <v>62</v>
      </c>
    </row>
    <row r="2959" spans="12:13" x14ac:dyDescent="0.3">
      <c r="L2959" s="19" t="s">
        <v>1994</v>
      </c>
      <c r="M2959" s="24" t="s">
        <v>62</v>
      </c>
    </row>
    <row r="2960" spans="12:13" x14ac:dyDescent="0.3">
      <c r="L2960" s="18" t="s">
        <v>1995</v>
      </c>
      <c r="M2960" s="23" t="s">
        <v>62</v>
      </c>
    </row>
    <row r="2961" spans="12:13" x14ac:dyDescent="0.3">
      <c r="L2961" s="19" t="s">
        <v>317</v>
      </c>
      <c r="M2961" s="24" t="s">
        <v>62</v>
      </c>
    </row>
    <row r="2962" spans="12:13" x14ac:dyDescent="0.3">
      <c r="L2962" s="18" t="s">
        <v>319</v>
      </c>
      <c r="M2962" s="23" t="s">
        <v>62</v>
      </c>
    </row>
    <row r="2963" spans="12:13" x14ac:dyDescent="0.3">
      <c r="L2963" s="19" t="s">
        <v>1996</v>
      </c>
      <c r="M2963" s="24" t="s">
        <v>62</v>
      </c>
    </row>
    <row r="2964" spans="12:13" x14ac:dyDescent="0.3">
      <c r="L2964" s="18" t="s">
        <v>439</v>
      </c>
      <c r="M2964" s="23" t="s">
        <v>62</v>
      </c>
    </row>
    <row r="2965" spans="12:13" x14ac:dyDescent="0.3">
      <c r="L2965" s="19" t="s">
        <v>1997</v>
      </c>
      <c r="M2965" s="24" t="s">
        <v>62</v>
      </c>
    </row>
    <row r="2966" spans="12:13" x14ac:dyDescent="0.3">
      <c r="L2966" s="18" t="s">
        <v>231</v>
      </c>
      <c r="M2966" s="23" t="s">
        <v>62</v>
      </c>
    </row>
    <row r="2967" spans="12:13" x14ac:dyDescent="0.3">
      <c r="L2967" s="19" t="s">
        <v>444</v>
      </c>
      <c r="M2967" s="24" t="s">
        <v>62</v>
      </c>
    </row>
    <row r="2968" spans="12:13" x14ac:dyDescent="0.3">
      <c r="L2968" s="18" t="s">
        <v>330</v>
      </c>
      <c r="M2968" s="23" t="s">
        <v>62</v>
      </c>
    </row>
    <row r="2969" spans="12:13" x14ac:dyDescent="0.3">
      <c r="L2969" s="19" t="s">
        <v>1998</v>
      </c>
      <c r="M2969" s="24" t="s">
        <v>62</v>
      </c>
    </row>
    <row r="2970" spans="12:13" x14ac:dyDescent="0.3">
      <c r="L2970" s="18" t="s">
        <v>1999</v>
      </c>
      <c r="M2970" s="23" t="s">
        <v>62</v>
      </c>
    </row>
    <row r="2971" spans="12:13" x14ac:dyDescent="0.3">
      <c r="L2971" s="19" t="s">
        <v>238</v>
      </c>
      <c r="M2971" s="24" t="s">
        <v>62</v>
      </c>
    </row>
    <row r="2972" spans="12:13" x14ac:dyDescent="0.3">
      <c r="L2972" s="18" t="s">
        <v>1805</v>
      </c>
      <c r="M2972" s="23" t="s">
        <v>62</v>
      </c>
    </row>
    <row r="2973" spans="12:13" x14ac:dyDescent="0.3">
      <c r="L2973" s="19" t="s">
        <v>2000</v>
      </c>
      <c r="M2973" s="24" t="s">
        <v>62</v>
      </c>
    </row>
    <row r="2974" spans="12:13" x14ac:dyDescent="0.3">
      <c r="L2974" s="18" t="s">
        <v>2001</v>
      </c>
      <c r="M2974" s="23" t="s">
        <v>62</v>
      </c>
    </row>
    <row r="2975" spans="12:13" x14ac:dyDescent="0.3">
      <c r="L2975" s="19" t="s">
        <v>2002</v>
      </c>
      <c r="M2975" s="24" t="s">
        <v>62</v>
      </c>
    </row>
    <row r="2976" spans="12:13" x14ac:dyDescent="0.3">
      <c r="L2976" s="18" t="s">
        <v>673</v>
      </c>
      <c r="M2976" s="23" t="s">
        <v>62</v>
      </c>
    </row>
    <row r="2977" spans="12:13" x14ac:dyDescent="0.3">
      <c r="L2977" s="19" t="s">
        <v>338</v>
      </c>
      <c r="M2977" s="24" t="s">
        <v>62</v>
      </c>
    </row>
    <row r="2978" spans="12:13" x14ac:dyDescent="0.3">
      <c r="L2978" s="18" t="s">
        <v>716</v>
      </c>
      <c r="M2978" s="23" t="s">
        <v>62</v>
      </c>
    </row>
    <row r="2979" spans="12:13" x14ac:dyDescent="0.3">
      <c r="L2979" s="19" t="s">
        <v>2003</v>
      </c>
      <c r="M2979" s="24" t="s">
        <v>62</v>
      </c>
    </row>
    <row r="2980" spans="12:13" x14ac:dyDescent="0.3">
      <c r="L2980" s="18" t="s">
        <v>2004</v>
      </c>
      <c r="M2980" s="23" t="s">
        <v>62</v>
      </c>
    </row>
    <row r="2981" spans="12:13" x14ac:dyDescent="0.3">
      <c r="L2981" s="19" t="s">
        <v>2005</v>
      </c>
      <c r="M2981" s="24" t="s">
        <v>62</v>
      </c>
    </row>
    <row r="2982" spans="12:13" x14ac:dyDescent="0.3">
      <c r="L2982" s="18" t="s">
        <v>613</v>
      </c>
      <c r="M2982" s="23" t="s">
        <v>62</v>
      </c>
    </row>
    <row r="2983" spans="12:13" x14ac:dyDescent="0.3">
      <c r="L2983" s="19" t="s">
        <v>470</v>
      </c>
      <c r="M2983" s="24" t="s">
        <v>62</v>
      </c>
    </row>
    <row r="2984" spans="12:13" x14ac:dyDescent="0.3">
      <c r="L2984" s="18" t="s">
        <v>2006</v>
      </c>
      <c r="M2984" s="23" t="s">
        <v>62</v>
      </c>
    </row>
    <row r="2985" spans="12:13" x14ac:dyDescent="0.3">
      <c r="L2985" s="19" t="s">
        <v>2007</v>
      </c>
      <c r="M2985" s="24" t="s">
        <v>62</v>
      </c>
    </row>
    <row r="2986" spans="12:13" x14ac:dyDescent="0.3">
      <c r="L2986" s="18" t="s">
        <v>2008</v>
      </c>
      <c r="M2986" s="23" t="s">
        <v>62</v>
      </c>
    </row>
    <row r="2987" spans="12:13" x14ac:dyDescent="0.3">
      <c r="L2987" s="19" t="s">
        <v>2009</v>
      </c>
      <c r="M2987" s="24" t="s">
        <v>62</v>
      </c>
    </row>
    <row r="2988" spans="12:13" x14ac:dyDescent="0.3">
      <c r="L2988" s="18" t="s">
        <v>882</v>
      </c>
      <c r="M2988" s="23" t="s">
        <v>62</v>
      </c>
    </row>
    <row r="2989" spans="12:13" x14ac:dyDescent="0.3">
      <c r="L2989" s="19" t="s">
        <v>1324</v>
      </c>
      <c r="M2989" s="24" t="s">
        <v>62</v>
      </c>
    </row>
    <row r="2990" spans="12:13" x14ac:dyDescent="0.3">
      <c r="L2990" s="18" t="s">
        <v>2010</v>
      </c>
      <c r="M2990" s="23" t="s">
        <v>62</v>
      </c>
    </row>
    <row r="2991" spans="12:13" x14ac:dyDescent="0.3">
      <c r="L2991" s="19" t="s">
        <v>2011</v>
      </c>
      <c r="M2991" s="24" t="s">
        <v>62</v>
      </c>
    </row>
    <row r="2992" spans="12:13" x14ac:dyDescent="0.3">
      <c r="L2992" s="18" t="s">
        <v>2012</v>
      </c>
      <c r="M2992" s="23" t="s">
        <v>62</v>
      </c>
    </row>
    <row r="2993" spans="12:13" x14ac:dyDescent="0.3">
      <c r="L2993" s="19" t="s">
        <v>2013</v>
      </c>
      <c r="M2993" s="24" t="s">
        <v>62</v>
      </c>
    </row>
    <row r="2994" spans="12:13" x14ac:dyDescent="0.3">
      <c r="L2994" s="18" t="s">
        <v>2014</v>
      </c>
      <c r="M2994" s="23" t="s">
        <v>62</v>
      </c>
    </row>
    <row r="2995" spans="12:13" x14ac:dyDescent="0.3">
      <c r="L2995" s="19" t="s">
        <v>204</v>
      </c>
      <c r="M2995" s="24" t="s">
        <v>61</v>
      </c>
    </row>
    <row r="2996" spans="12:13" x14ac:dyDescent="0.3">
      <c r="L2996" s="18" t="s">
        <v>1637</v>
      </c>
      <c r="M2996" s="23" t="s">
        <v>61</v>
      </c>
    </row>
    <row r="2997" spans="12:13" x14ac:dyDescent="0.3">
      <c r="L2997" s="19" t="s">
        <v>313</v>
      </c>
      <c r="M2997" s="24" t="s">
        <v>61</v>
      </c>
    </row>
    <row r="2998" spans="12:13" x14ac:dyDescent="0.3">
      <c r="L2998" s="18" t="s">
        <v>2015</v>
      </c>
      <c r="M2998" s="23" t="s">
        <v>61</v>
      </c>
    </row>
    <row r="2999" spans="12:13" x14ac:dyDescent="0.3">
      <c r="L2999" s="19" t="s">
        <v>2016</v>
      </c>
      <c r="M2999" s="24" t="s">
        <v>61</v>
      </c>
    </row>
    <row r="3000" spans="12:13" x14ac:dyDescent="0.3">
      <c r="L3000" s="18" t="s">
        <v>2017</v>
      </c>
      <c r="M3000" s="23" t="s">
        <v>61</v>
      </c>
    </row>
    <row r="3001" spans="12:13" x14ac:dyDescent="0.3">
      <c r="L3001" s="19" t="s">
        <v>209</v>
      </c>
      <c r="M3001" s="24" t="s">
        <v>61</v>
      </c>
    </row>
    <row r="3002" spans="12:13" x14ac:dyDescent="0.3">
      <c r="L3002" s="18" t="s">
        <v>215</v>
      </c>
      <c r="M3002" s="23" t="s">
        <v>61</v>
      </c>
    </row>
    <row r="3003" spans="12:13" x14ac:dyDescent="0.3">
      <c r="L3003" s="19" t="s">
        <v>2018</v>
      </c>
      <c r="M3003" s="24" t="s">
        <v>61</v>
      </c>
    </row>
    <row r="3004" spans="12:13" x14ac:dyDescent="0.3">
      <c r="L3004" s="18" t="s">
        <v>230</v>
      </c>
      <c r="M3004" s="23" t="s">
        <v>61</v>
      </c>
    </row>
    <row r="3005" spans="12:13" x14ac:dyDescent="0.3">
      <c r="L3005" s="19" t="s">
        <v>581</v>
      </c>
      <c r="M3005" s="24" t="s">
        <v>61</v>
      </c>
    </row>
    <row r="3006" spans="12:13" x14ac:dyDescent="0.3">
      <c r="L3006" s="18" t="s">
        <v>330</v>
      </c>
      <c r="M3006" s="23" t="s">
        <v>61</v>
      </c>
    </row>
    <row r="3007" spans="12:13" x14ac:dyDescent="0.3">
      <c r="L3007" s="19" t="s">
        <v>2019</v>
      </c>
      <c r="M3007" s="24" t="s">
        <v>61</v>
      </c>
    </row>
    <row r="3008" spans="12:13" x14ac:dyDescent="0.3">
      <c r="L3008" s="18" t="s">
        <v>1043</v>
      </c>
      <c r="M3008" s="23" t="s">
        <v>61</v>
      </c>
    </row>
    <row r="3009" spans="12:13" x14ac:dyDescent="0.3">
      <c r="L3009" s="19" t="s">
        <v>589</v>
      </c>
      <c r="M3009" s="24" t="s">
        <v>61</v>
      </c>
    </row>
    <row r="3010" spans="12:13" x14ac:dyDescent="0.3">
      <c r="L3010" s="18" t="s">
        <v>2020</v>
      </c>
      <c r="M3010" s="23" t="s">
        <v>61</v>
      </c>
    </row>
    <row r="3011" spans="12:13" x14ac:dyDescent="0.3">
      <c r="L3011" s="19" t="s">
        <v>748</v>
      </c>
      <c r="M3011" s="24" t="s">
        <v>61</v>
      </c>
    </row>
    <row r="3012" spans="12:13" x14ac:dyDescent="0.3">
      <c r="L3012" s="18" t="s">
        <v>237</v>
      </c>
      <c r="M3012" s="23" t="s">
        <v>61</v>
      </c>
    </row>
    <row r="3013" spans="12:13" x14ac:dyDescent="0.3">
      <c r="L3013" s="19" t="s">
        <v>238</v>
      </c>
      <c r="M3013" s="24" t="s">
        <v>61</v>
      </c>
    </row>
    <row r="3014" spans="12:13" x14ac:dyDescent="0.3">
      <c r="L3014" s="18" t="s">
        <v>2021</v>
      </c>
      <c r="M3014" s="23" t="s">
        <v>61</v>
      </c>
    </row>
    <row r="3015" spans="12:13" x14ac:dyDescent="0.3">
      <c r="L3015" s="19" t="s">
        <v>673</v>
      </c>
      <c r="M3015" s="24" t="s">
        <v>61</v>
      </c>
    </row>
    <row r="3016" spans="12:13" x14ac:dyDescent="0.3">
      <c r="L3016" s="18" t="s">
        <v>338</v>
      </c>
      <c r="M3016" s="23" t="s">
        <v>61</v>
      </c>
    </row>
    <row r="3017" spans="12:13" x14ac:dyDescent="0.3">
      <c r="L3017" s="19" t="s">
        <v>340</v>
      </c>
      <c r="M3017" s="24" t="s">
        <v>61</v>
      </c>
    </row>
    <row r="3018" spans="12:13" x14ac:dyDescent="0.3">
      <c r="L3018" s="18" t="s">
        <v>1446</v>
      </c>
      <c r="M3018" s="23" t="s">
        <v>61</v>
      </c>
    </row>
    <row r="3019" spans="12:13" x14ac:dyDescent="0.3">
      <c r="L3019" s="19" t="s">
        <v>248</v>
      </c>
      <c r="M3019" s="24" t="s">
        <v>61</v>
      </c>
    </row>
    <row r="3020" spans="12:13" x14ac:dyDescent="0.3">
      <c r="L3020" s="18" t="s">
        <v>249</v>
      </c>
      <c r="M3020" s="23" t="s">
        <v>61</v>
      </c>
    </row>
    <row r="3021" spans="12:13" x14ac:dyDescent="0.3">
      <c r="L3021" s="19" t="s">
        <v>716</v>
      </c>
      <c r="M3021" s="24" t="s">
        <v>61</v>
      </c>
    </row>
    <row r="3022" spans="12:13" x14ac:dyDescent="0.3">
      <c r="L3022" s="18" t="s">
        <v>719</v>
      </c>
      <c r="M3022" s="23" t="s">
        <v>61</v>
      </c>
    </row>
    <row r="3023" spans="12:13" x14ac:dyDescent="0.3">
      <c r="L3023" s="19" t="s">
        <v>456</v>
      </c>
      <c r="M3023" s="24" t="s">
        <v>61</v>
      </c>
    </row>
    <row r="3024" spans="12:13" x14ac:dyDescent="0.3">
      <c r="L3024" s="18" t="s">
        <v>2022</v>
      </c>
      <c r="M3024" s="23" t="s">
        <v>61</v>
      </c>
    </row>
    <row r="3025" spans="12:13" x14ac:dyDescent="0.3">
      <c r="L3025" s="19" t="s">
        <v>2023</v>
      </c>
      <c r="M3025" s="24" t="s">
        <v>61</v>
      </c>
    </row>
    <row r="3026" spans="12:13" x14ac:dyDescent="0.3">
      <c r="L3026" s="18" t="s">
        <v>251</v>
      </c>
      <c r="M3026" s="23" t="s">
        <v>61</v>
      </c>
    </row>
    <row r="3027" spans="12:13" x14ac:dyDescent="0.3">
      <c r="L3027" s="19" t="s">
        <v>253</v>
      </c>
      <c r="M3027" s="24" t="s">
        <v>61</v>
      </c>
    </row>
    <row r="3028" spans="12:13" x14ac:dyDescent="0.3">
      <c r="L3028" s="18" t="s">
        <v>933</v>
      </c>
      <c r="M3028" s="23" t="s">
        <v>61</v>
      </c>
    </row>
    <row r="3029" spans="12:13" x14ac:dyDescent="0.3">
      <c r="L3029" s="19" t="s">
        <v>758</v>
      </c>
      <c r="M3029" s="24" t="s">
        <v>61</v>
      </c>
    </row>
    <row r="3030" spans="12:13" x14ac:dyDescent="0.3">
      <c r="L3030" s="18" t="s">
        <v>936</v>
      </c>
      <c r="M3030" s="23" t="s">
        <v>61</v>
      </c>
    </row>
    <row r="3031" spans="12:13" x14ac:dyDescent="0.3">
      <c r="L3031" s="19" t="s">
        <v>2024</v>
      </c>
      <c r="M3031" s="24" t="s">
        <v>61</v>
      </c>
    </row>
    <row r="3032" spans="12:13" x14ac:dyDescent="0.3">
      <c r="L3032" s="18" t="s">
        <v>812</v>
      </c>
      <c r="M3032" s="23" t="s">
        <v>61</v>
      </c>
    </row>
    <row r="3033" spans="12:13" x14ac:dyDescent="0.3">
      <c r="L3033" s="19" t="s">
        <v>2025</v>
      </c>
      <c r="M3033" s="24" t="s">
        <v>61</v>
      </c>
    </row>
    <row r="3034" spans="12:13" x14ac:dyDescent="0.3">
      <c r="L3034" s="18" t="s">
        <v>527</v>
      </c>
      <c r="M3034" s="23" t="s">
        <v>61</v>
      </c>
    </row>
    <row r="3035" spans="12:13" x14ac:dyDescent="0.3">
      <c r="L3035" s="19" t="s">
        <v>2026</v>
      </c>
      <c r="M3035" s="24" t="s">
        <v>61</v>
      </c>
    </row>
    <row r="3036" spans="12:13" x14ac:dyDescent="0.3">
      <c r="L3036" s="18" t="s">
        <v>257</v>
      </c>
      <c r="M3036" s="23" t="s">
        <v>61</v>
      </c>
    </row>
    <row r="3037" spans="12:13" x14ac:dyDescent="0.3">
      <c r="L3037" s="19" t="s">
        <v>2027</v>
      </c>
      <c r="M3037" s="24" t="s">
        <v>61</v>
      </c>
    </row>
    <row r="3038" spans="12:13" x14ac:dyDescent="0.3">
      <c r="L3038" s="18" t="s">
        <v>1717</v>
      </c>
      <c r="M3038" s="23" t="s">
        <v>61</v>
      </c>
    </row>
    <row r="3039" spans="12:13" x14ac:dyDescent="0.3">
      <c r="L3039" s="19" t="s">
        <v>2028</v>
      </c>
      <c r="M3039" s="24" t="s">
        <v>61</v>
      </c>
    </row>
    <row r="3040" spans="12:13" x14ac:dyDescent="0.3">
      <c r="L3040" s="18" t="s">
        <v>534</v>
      </c>
      <c r="M3040" s="23" t="s">
        <v>61</v>
      </c>
    </row>
    <row r="3041" spans="12:13" x14ac:dyDescent="0.3">
      <c r="L3041" s="19" t="s">
        <v>2029</v>
      </c>
      <c r="M3041" s="24" t="s">
        <v>61</v>
      </c>
    </row>
    <row r="3042" spans="12:13" x14ac:dyDescent="0.3">
      <c r="L3042" s="18" t="s">
        <v>1865</v>
      </c>
      <c r="M3042" s="23" t="s">
        <v>61</v>
      </c>
    </row>
    <row r="3043" spans="12:13" x14ac:dyDescent="0.3">
      <c r="L3043" s="19" t="s">
        <v>1866</v>
      </c>
      <c r="M3043" s="24" t="s">
        <v>61</v>
      </c>
    </row>
    <row r="3044" spans="12:13" x14ac:dyDescent="0.3">
      <c r="L3044" s="18" t="s">
        <v>639</v>
      </c>
      <c r="M3044" s="23" t="s">
        <v>61</v>
      </c>
    </row>
    <row r="3045" spans="12:13" x14ac:dyDescent="0.3">
      <c r="L3045" s="19" t="s">
        <v>640</v>
      </c>
      <c r="M3045" s="24" t="s">
        <v>61</v>
      </c>
    </row>
    <row r="3046" spans="12:13" x14ac:dyDescent="0.3">
      <c r="L3046" s="18" t="s">
        <v>2030</v>
      </c>
      <c r="M3046" s="23" t="s">
        <v>61</v>
      </c>
    </row>
    <row r="3047" spans="12:13" x14ac:dyDescent="0.3">
      <c r="L3047" s="19" t="s">
        <v>2031</v>
      </c>
      <c r="M3047" s="24" t="s">
        <v>61</v>
      </c>
    </row>
    <row r="3048" spans="12:13" x14ac:dyDescent="0.3">
      <c r="L3048" s="18" t="s">
        <v>1537</v>
      </c>
      <c r="M3048" s="23" t="s">
        <v>61</v>
      </c>
    </row>
    <row r="3049" spans="12:13" x14ac:dyDescent="0.3">
      <c r="L3049" s="19" t="s">
        <v>1407</v>
      </c>
      <c r="M3049" s="24" t="s">
        <v>61</v>
      </c>
    </row>
    <row r="3050" spans="12:13" x14ac:dyDescent="0.3">
      <c r="L3050" s="18" t="s">
        <v>422</v>
      </c>
      <c r="M3050" s="23" t="s">
        <v>60</v>
      </c>
    </row>
    <row r="3051" spans="12:13" x14ac:dyDescent="0.3">
      <c r="L3051" s="19" t="s">
        <v>1504</v>
      </c>
      <c r="M3051" s="24" t="s">
        <v>60</v>
      </c>
    </row>
    <row r="3052" spans="12:13" x14ac:dyDescent="0.3">
      <c r="L3052" s="18" t="s">
        <v>2032</v>
      </c>
      <c r="M3052" s="23" t="s">
        <v>60</v>
      </c>
    </row>
    <row r="3053" spans="12:13" x14ac:dyDescent="0.3">
      <c r="L3053" s="19" t="s">
        <v>2033</v>
      </c>
      <c r="M3053" s="24" t="s">
        <v>60</v>
      </c>
    </row>
    <row r="3054" spans="12:13" x14ac:dyDescent="0.3">
      <c r="L3054" s="18" t="s">
        <v>686</v>
      </c>
      <c r="M3054" s="23" t="s">
        <v>60</v>
      </c>
    </row>
    <row r="3055" spans="12:13" x14ac:dyDescent="0.3">
      <c r="L3055" s="19" t="s">
        <v>1289</v>
      </c>
      <c r="M3055" s="24" t="s">
        <v>60</v>
      </c>
    </row>
    <row r="3056" spans="12:13" x14ac:dyDescent="0.3">
      <c r="L3056" s="18" t="s">
        <v>2034</v>
      </c>
      <c r="M3056" s="23" t="s">
        <v>60</v>
      </c>
    </row>
    <row r="3057" spans="12:13" x14ac:dyDescent="0.3">
      <c r="L3057" s="19" t="s">
        <v>2035</v>
      </c>
      <c r="M3057" s="24" t="s">
        <v>60</v>
      </c>
    </row>
    <row r="3058" spans="12:13" x14ac:dyDescent="0.3">
      <c r="L3058" s="18" t="s">
        <v>1059</v>
      </c>
      <c r="M3058" s="23" t="s">
        <v>60</v>
      </c>
    </row>
    <row r="3059" spans="12:13" x14ac:dyDescent="0.3">
      <c r="L3059" s="19" t="s">
        <v>317</v>
      </c>
      <c r="M3059" s="24" t="s">
        <v>60</v>
      </c>
    </row>
    <row r="3060" spans="12:13" x14ac:dyDescent="0.3">
      <c r="L3060" s="18" t="s">
        <v>319</v>
      </c>
      <c r="M3060" s="23" t="s">
        <v>60</v>
      </c>
    </row>
    <row r="3061" spans="12:13" x14ac:dyDescent="0.3">
      <c r="L3061" s="19" t="s">
        <v>322</v>
      </c>
      <c r="M3061" s="24" t="s">
        <v>60</v>
      </c>
    </row>
    <row r="3062" spans="12:13" x14ac:dyDescent="0.3">
      <c r="L3062" s="18" t="s">
        <v>2036</v>
      </c>
      <c r="M3062" s="23" t="s">
        <v>60</v>
      </c>
    </row>
    <row r="3063" spans="12:13" x14ac:dyDescent="0.3">
      <c r="L3063" s="19" t="s">
        <v>570</v>
      </c>
      <c r="M3063" s="24" t="s">
        <v>60</v>
      </c>
    </row>
    <row r="3064" spans="12:13" x14ac:dyDescent="0.3">
      <c r="L3064" s="18" t="s">
        <v>2037</v>
      </c>
      <c r="M3064" s="23" t="s">
        <v>60</v>
      </c>
    </row>
    <row r="3065" spans="12:13" x14ac:dyDescent="0.3">
      <c r="L3065" s="19" t="s">
        <v>439</v>
      </c>
      <c r="M3065" s="24" t="s">
        <v>60</v>
      </c>
    </row>
    <row r="3066" spans="12:13" x14ac:dyDescent="0.3">
      <c r="L3066" s="18" t="s">
        <v>1482</v>
      </c>
      <c r="M3066" s="23" t="s">
        <v>60</v>
      </c>
    </row>
    <row r="3067" spans="12:13" x14ac:dyDescent="0.3">
      <c r="L3067" s="19" t="s">
        <v>2038</v>
      </c>
      <c r="M3067" s="24" t="s">
        <v>60</v>
      </c>
    </row>
    <row r="3068" spans="12:13" x14ac:dyDescent="0.3">
      <c r="L3068" s="18" t="s">
        <v>1645</v>
      </c>
      <c r="M3068" s="23" t="s">
        <v>60</v>
      </c>
    </row>
    <row r="3069" spans="12:13" x14ac:dyDescent="0.3">
      <c r="L3069" s="19" t="s">
        <v>2039</v>
      </c>
      <c r="M3069" s="24" t="s">
        <v>60</v>
      </c>
    </row>
    <row r="3070" spans="12:13" x14ac:dyDescent="0.3">
      <c r="L3070" s="18" t="s">
        <v>1610</v>
      </c>
      <c r="M3070" s="23" t="s">
        <v>60</v>
      </c>
    </row>
    <row r="3071" spans="12:13" x14ac:dyDescent="0.3">
      <c r="L3071" s="19" t="s">
        <v>330</v>
      </c>
      <c r="M3071" s="24" t="s">
        <v>60</v>
      </c>
    </row>
    <row r="3072" spans="12:13" x14ac:dyDescent="0.3">
      <c r="L3072" s="18" t="s">
        <v>914</v>
      </c>
      <c r="M3072" s="23" t="s">
        <v>60</v>
      </c>
    </row>
    <row r="3073" spans="12:13" x14ac:dyDescent="0.3">
      <c r="L3073" s="19" t="s">
        <v>2040</v>
      </c>
      <c r="M3073" s="24" t="s">
        <v>60</v>
      </c>
    </row>
    <row r="3074" spans="12:13" x14ac:dyDescent="0.3">
      <c r="L3074" s="18" t="s">
        <v>797</v>
      </c>
      <c r="M3074" s="23" t="s">
        <v>60</v>
      </c>
    </row>
    <row r="3075" spans="12:13" x14ac:dyDescent="0.3">
      <c r="L3075" s="19" t="s">
        <v>1073</v>
      </c>
      <c r="M3075" s="24" t="s">
        <v>60</v>
      </c>
    </row>
    <row r="3076" spans="12:13" x14ac:dyDescent="0.3">
      <c r="L3076" s="18" t="s">
        <v>237</v>
      </c>
      <c r="M3076" s="23" t="s">
        <v>60</v>
      </c>
    </row>
    <row r="3077" spans="12:13" x14ac:dyDescent="0.3">
      <c r="L3077" s="19" t="s">
        <v>238</v>
      </c>
      <c r="M3077" s="24" t="s">
        <v>60</v>
      </c>
    </row>
    <row r="3078" spans="12:13" x14ac:dyDescent="0.3">
      <c r="L3078" s="18" t="s">
        <v>2041</v>
      </c>
      <c r="M3078" s="23" t="s">
        <v>60</v>
      </c>
    </row>
    <row r="3079" spans="12:13" x14ac:dyDescent="0.3">
      <c r="L3079" s="19" t="s">
        <v>2042</v>
      </c>
      <c r="M3079" s="24" t="s">
        <v>60</v>
      </c>
    </row>
    <row r="3080" spans="12:13" x14ac:dyDescent="0.3">
      <c r="L3080" s="18" t="s">
        <v>2043</v>
      </c>
      <c r="M3080" s="23" t="s">
        <v>60</v>
      </c>
    </row>
    <row r="3081" spans="12:13" x14ac:dyDescent="0.3">
      <c r="L3081" s="19" t="s">
        <v>2044</v>
      </c>
      <c r="M3081" s="24" t="s">
        <v>60</v>
      </c>
    </row>
    <row r="3082" spans="12:13" x14ac:dyDescent="0.3">
      <c r="L3082" s="18" t="s">
        <v>337</v>
      </c>
      <c r="M3082" s="23" t="s">
        <v>60</v>
      </c>
    </row>
    <row r="3083" spans="12:13" x14ac:dyDescent="0.3">
      <c r="L3083" s="19" t="s">
        <v>2045</v>
      </c>
      <c r="M3083" s="24" t="s">
        <v>60</v>
      </c>
    </row>
    <row r="3084" spans="12:13" x14ac:dyDescent="0.3">
      <c r="L3084" s="18" t="s">
        <v>338</v>
      </c>
      <c r="M3084" s="23" t="s">
        <v>60</v>
      </c>
    </row>
    <row r="3085" spans="12:13" x14ac:dyDescent="0.3">
      <c r="L3085" s="19" t="s">
        <v>2046</v>
      </c>
      <c r="M3085" s="24" t="s">
        <v>60</v>
      </c>
    </row>
    <row r="3086" spans="12:13" x14ac:dyDescent="0.3">
      <c r="L3086" s="18" t="s">
        <v>2047</v>
      </c>
      <c r="M3086" s="23" t="s">
        <v>60</v>
      </c>
    </row>
    <row r="3087" spans="12:13" x14ac:dyDescent="0.3">
      <c r="L3087" s="19" t="s">
        <v>2048</v>
      </c>
      <c r="M3087" s="24" t="s">
        <v>60</v>
      </c>
    </row>
    <row r="3088" spans="12:13" x14ac:dyDescent="0.3">
      <c r="L3088" s="18" t="s">
        <v>1085</v>
      </c>
      <c r="M3088" s="23" t="s">
        <v>60</v>
      </c>
    </row>
    <row r="3089" spans="12:13" x14ac:dyDescent="0.3">
      <c r="L3089" s="19" t="s">
        <v>1087</v>
      </c>
      <c r="M3089" s="24" t="s">
        <v>60</v>
      </c>
    </row>
    <row r="3090" spans="12:13" x14ac:dyDescent="0.3">
      <c r="L3090" s="18" t="s">
        <v>2049</v>
      </c>
      <c r="M3090" s="23" t="s">
        <v>60</v>
      </c>
    </row>
    <row r="3091" spans="12:13" x14ac:dyDescent="0.3">
      <c r="L3091" s="19" t="s">
        <v>251</v>
      </c>
      <c r="M3091" s="24" t="s">
        <v>60</v>
      </c>
    </row>
    <row r="3092" spans="12:13" x14ac:dyDescent="0.3">
      <c r="L3092" s="18" t="s">
        <v>2050</v>
      </c>
      <c r="M3092" s="23" t="s">
        <v>60</v>
      </c>
    </row>
    <row r="3093" spans="12:13" x14ac:dyDescent="0.3">
      <c r="L3093" s="19" t="s">
        <v>676</v>
      </c>
      <c r="M3093" s="24" t="s">
        <v>60</v>
      </c>
    </row>
    <row r="3094" spans="12:13" x14ac:dyDescent="0.3">
      <c r="L3094" s="18" t="s">
        <v>2051</v>
      </c>
      <c r="M3094" s="23" t="s">
        <v>60</v>
      </c>
    </row>
    <row r="3095" spans="12:13" x14ac:dyDescent="0.3">
      <c r="L3095" s="19" t="s">
        <v>2052</v>
      </c>
      <c r="M3095" s="24" t="s">
        <v>60</v>
      </c>
    </row>
    <row r="3096" spans="12:13" x14ac:dyDescent="0.3">
      <c r="L3096" s="18" t="s">
        <v>2053</v>
      </c>
      <c r="M3096" s="23" t="s">
        <v>60</v>
      </c>
    </row>
    <row r="3097" spans="12:13" x14ac:dyDescent="0.3">
      <c r="L3097" s="19" t="s">
        <v>613</v>
      </c>
      <c r="M3097" s="24" t="s">
        <v>60</v>
      </c>
    </row>
    <row r="3098" spans="12:13" x14ac:dyDescent="0.3">
      <c r="L3098" s="18" t="s">
        <v>349</v>
      </c>
      <c r="M3098" s="23" t="s">
        <v>60</v>
      </c>
    </row>
    <row r="3099" spans="12:13" x14ac:dyDescent="0.3">
      <c r="L3099" s="19" t="s">
        <v>1528</v>
      </c>
      <c r="M3099" s="24" t="s">
        <v>60</v>
      </c>
    </row>
    <row r="3100" spans="12:13" x14ac:dyDescent="0.3">
      <c r="L3100" s="18" t="s">
        <v>2054</v>
      </c>
      <c r="M3100" s="23" t="s">
        <v>60</v>
      </c>
    </row>
    <row r="3101" spans="12:13" x14ac:dyDescent="0.3">
      <c r="L3101" s="19" t="s">
        <v>2055</v>
      </c>
      <c r="M3101" s="24" t="s">
        <v>60</v>
      </c>
    </row>
    <row r="3102" spans="12:13" x14ac:dyDescent="0.3">
      <c r="L3102" s="18" t="s">
        <v>724</v>
      </c>
      <c r="M3102" s="23" t="s">
        <v>60</v>
      </c>
    </row>
    <row r="3103" spans="12:13" x14ac:dyDescent="0.3">
      <c r="L3103" s="19" t="s">
        <v>1154</v>
      </c>
      <c r="M3103" s="24" t="s">
        <v>60</v>
      </c>
    </row>
    <row r="3104" spans="12:13" x14ac:dyDescent="0.3">
      <c r="L3104" s="18" t="s">
        <v>1844</v>
      </c>
      <c r="M3104" s="23" t="s">
        <v>60</v>
      </c>
    </row>
    <row r="3105" spans="12:13" x14ac:dyDescent="0.3">
      <c r="L3105" s="19" t="s">
        <v>2056</v>
      </c>
      <c r="M3105" s="24" t="s">
        <v>60</v>
      </c>
    </row>
    <row r="3106" spans="12:13" x14ac:dyDescent="0.3">
      <c r="L3106" s="18" t="s">
        <v>2057</v>
      </c>
      <c r="M3106" s="23" t="s">
        <v>60</v>
      </c>
    </row>
    <row r="3107" spans="12:13" x14ac:dyDescent="0.3">
      <c r="L3107" s="19" t="s">
        <v>2058</v>
      </c>
      <c r="M3107" s="24" t="s">
        <v>60</v>
      </c>
    </row>
    <row r="3108" spans="12:13" x14ac:dyDescent="0.3">
      <c r="L3108" s="18" t="s">
        <v>2059</v>
      </c>
      <c r="M3108" s="23" t="s">
        <v>60</v>
      </c>
    </row>
    <row r="3109" spans="12:13" x14ac:dyDescent="0.3">
      <c r="L3109" s="19" t="s">
        <v>2060</v>
      </c>
      <c r="M3109" s="24" t="s">
        <v>60</v>
      </c>
    </row>
    <row r="3110" spans="12:13" x14ac:dyDescent="0.3">
      <c r="L3110" s="18" t="s">
        <v>534</v>
      </c>
      <c r="M3110" s="23" t="s">
        <v>60</v>
      </c>
    </row>
    <row r="3111" spans="12:13" x14ac:dyDescent="0.3">
      <c r="L3111" s="19" t="s">
        <v>2061</v>
      </c>
      <c r="M3111" s="24" t="s">
        <v>60</v>
      </c>
    </row>
    <row r="3112" spans="12:13" x14ac:dyDescent="0.3">
      <c r="L3112" s="18" t="s">
        <v>1246</v>
      </c>
      <c r="M3112" s="23" t="s">
        <v>60</v>
      </c>
    </row>
    <row r="3113" spans="12:13" x14ac:dyDescent="0.3">
      <c r="L3113" s="19" t="s">
        <v>2062</v>
      </c>
      <c r="M3113" s="24" t="s">
        <v>60</v>
      </c>
    </row>
    <row r="3114" spans="12:13" x14ac:dyDescent="0.3">
      <c r="L3114" s="18" t="s">
        <v>1693</v>
      </c>
      <c r="M3114" s="23" t="s">
        <v>60</v>
      </c>
    </row>
    <row r="3115" spans="12:13" x14ac:dyDescent="0.3">
      <c r="L3115" s="19" t="s">
        <v>2063</v>
      </c>
      <c r="M3115" s="24" t="s">
        <v>60</v>
      </c>
    </row>
    <row r="3116" spans="12:13" x14ac:dyDescent="0.3">
      <c r="L3116" s="18" t="s">
        <v>266</v>
      </c>
      <c r="M3116" s="23" t="s">
        <v>60</v>
      </c>
    </row>
    <row r="3117" spans="12:13" x14ac:dyDescent="0.3">
      <c r="L3117" s="19" t="s">
        <v>2064</v>
      </c>
      <c r="M3117" s="24" t="s">
        <v>60</v>
      </c>
    </row>
    <row r="3118" spans="12:13" x14ac:dyDescent="0.3">
      <c r="L3118" s="18" t="s">
        <v>2065</v>
      </c>
      <c r="M3118" s="23" t="s">
        <v>60</v>
      </c>
    </row>
    <row r="3119" spans="12:13" x14ac:dyDescent="0.3">
      <c r="L3119" s="19" t="s">
        <v>2066</v>
      </c>
      <c r="M3119" s="24" t="s">
        <v>60</v>
      </c>
    </row>
    <row r="3120" spans="12:13" x14ac:dyDescent="0.3">
      <c r="L3120" s="18" t="s">
        <v>736</v>
      </c>
      <c r="M3120" s="23" t="s">
        <v>60</v>
      </c>
    </row>
    <row r="3121" spans="12:13" x14ac:dyDescent="0.3">
      <c r="L3121" s="19" t="s">
        <v>1537</v>
      </c>
      <c r="M3121" s="24" t="s">
        <v>60</v>
      </c>
    </row>
    <row r="3122" spans="12:13" x14ac:dyDescent="0.3">
      <c r="L3122" s="18" t="s">
        <v>1378</v>
      </c>
      <c r="M3122" s="23" t="s">
        <v>59</v>
      </c>
    </row>
    <row r="3123" spans="12:13" x14ac:dyDescent="0.3">
      <c r="L3123" s="19" t="s">
        <v>1249</v>
      </c>
      <c r="M3123" s="24" t="s">
        <v>59</v>
      </c>
    </row>
    <row r="3124" spans="12:13" x14ac:dyDescent="0.3">
      <c r="L3124" s="18" t="s">
        <v>903</v>
      </c>
      <c r="M3124" s="23" t="s">
        <v>59</v>
      </c>
    </row>
    <row r="3125" spans="12:13" x14ac:dyDescent="0.3">
      <c r="L3125" s="19" t="s">
        <v>1251</v>
      </c>
      <c r="M3125" s="24" t="s">
        <v>59</v>
      </c>
    </row>
    <row r="3126" spans="12:13" x14ac:dyDescent="0.3">
      <c r="L3126" s="18" t="s">
        <v>2067</v>
      </c>
      <c r="M3126" s="23" t="s">
        <v>59</v>
      </c>
    </row>
    <row r="3127" spans="12:13" x14ac:dyDescent="0.3">
      <c r="L3127" s="19" t="s">
        <v>1583</v>
      </c>
      <c r="M3127" s="24" t="s">
        <v>59</v>
      </c>
    </row>
    <row r="3128" spans="12:13" x14ac:dyDescent="0.3">
      <c r="L3128" s="18" t="s">
        <v>443</v>
      </c>
      <c r="M3128" s="23" t="s">
        <v>59</v>
      </c>
    </row>
    <row r="3129" spans="12:13" x14ac:dyDescent="0.3">
      <c r="L3129" s="19" t="s">
        <v>2068</v>
      </c>
      <c r="M3129" s="24" t="s">
        <v>59</v>
      </c>
    </row>
    <row r="3130" spans="12:13" x14ac:dyDescent="0.3">
      <c r="L3130" s="18" t="s">
        <v>2069</v>
      </c>
      <c r="M3130" s="23" t="s">
        <v>59</v>
      </c>
    </row>
    <row r="3131" spans="12:13" x14ac:dyDescent="0.3">
      <c r="L3131" s="19" t="s">
        <v>336</v>
      </c>
      <c r="M3131" s="24" t="s">
        <v>59</v>
      </c>
    </row>
    <row r="3132" spans="12:13" x14ac:dyDescent="0.3">
      <c r="L3132" s="18" t="s">
        <v>2070</v>
      </c>
      <c r="M3132" s="23" t="s">
        <v>59</v>
      </c>
    </row>
    <row r="3133" spans="12:13" x14ac:dyDescent="0.3">
      <c r="L3133" s="19" t="s">
        <v>338</v>
      </c>
      <c r="M3133" s="24" t="s">
        <v>59</v>
      </c>
    </row>
    <row r="3134" spans="12:13" x14ac:dyDescent="0.3">
      <c r="L3134" s="18" t="s">
        <v>2071</v>
      </c>
      <c r="M3134" s="23" t="s">
        <v>59</v>
      </c>
    </row>
    <row r="3135" spans="12:13" x14ac:dyDescent="0.3">
      <c r="L3135" s="19" t="s">
        <v>2072</v>
      </c>
      <c r="M3135" s="24" t="s">
        <v>59</v>
      </c>
    </row>
    <row r="3136" spans="12:13" x14ac:dyDescent="0.3">
      <c r="L3136" s="18" t="s">
        <v>462</v>
      </c>
      <c r="M3136" s="23" t="s">
        <v>59</v>
      </c>
    </row>
    <row r="3137" spans="12:13" x14ac:dyDescent="0.3">
      <c r="L3137" s="19" t="s">
        <v>1234</v>
      </c>
      <c r="M3137" s="24" t="s">
        <v>59</v>
      </c>
    </row>
    <row r="3138" spans="12:13" x14ac:dyDescent="0.3">
      <c r="L3138" s="18" t="s">
        <v>877</v>
      </c>
      <c r="M3138" s="23" t="s">
        <v>59</v>
      </c>
    </row>
    <row r="3139" spans="12:13" x14ac:dyDescent="0.3">
      <c r="L3139" s="19" t="s">
        <v>2073</v>
      </c>
      <c r="M3139" s="24" t="s">
        <v>59</v>
      </c>
    </row>
    <row r="3140" spans="12:13" x14ac:dyDescent="0.3">
      <c r="L3140" s="18" t="s">
        <v>2074</v>
      </c>
      <c r="M3140" s="23" t="s">
        <v>59</v>
      </c>
    </row>
    <row r="3141" spans="12:13" x14ac:dyDescent="0.3">
      <c r="L3141" s="19" t="s">
        <v>681</v>
      </c>
      <c r="M3141" s="24" t="s">
        <v>59</v>
      </c>
    </row>
    <row r="3142" spans="12:13" x14ac:dyDescent="0.3">
      <c r="L3142" s="18" t="s">
        <v>2075</v>
      </c>
      <c r="M3142" s="23" t="s">
        <v>59</v>
      </c>
    </row>
    <row r="3143" spans="12:13" x14ac:dyDescent="0.3">
      <c r="L3143" s="19" t="s">
        <v>2076</v>
      </c>
      <c r="M3143" s="24" t="s">
        <v>59</v>
      </c>
    </row>
    <row r="3144" spans="12:13" x14ac:dyDescent="0.3">
      <c r="L3144" s="18" t="s">
        <v>2077</v>
      </c>
      <c r="M3144" s="23" t="s">
        <v>59</v>
      </c>
    </row>
    <row r="3145" spans="12:13" x14ac:dyDescent="0.3">
      <c r="L3145" s="19" t="s">
        <v>2078</v>
      </c>
      <c r="M3145" s="24" t="s">
        <v>71</v>
      </c>
    </row>
    <row r="3146" spans="12:13" x14ac:dyDescent="0.3">
      <c r="L3146" s="18" t="s">
        <v>2079</v>
      </c>
      <c r="M3146" s="23" t="s">
        <v>71</v>
      </c>
    </row>
    <row r="3147" spans="12:13" x14ac:dyDescent="0.3">
      <c r="L3147" s="19" t="s">
        <v>2080</v>
      </c>
      <c r="M3147" s="24" t="s">
        <v>71</v>
      </c>
    </row>
    <row r="3148" spans="12:13" x14ac:dyDescent="0.3">
      <c r="L3148" s="18" t="s">
        <v>2081</v>
      </c>
      <c r="M3148" s="23" t="s">
        <v>71</v>
      </c>
    </row>
    <row r="3149" spans="12:13" x14ac:dyDescent="0.3">
      <c r="L3149" s="19" t="s">
        <v>2082</v>
      </c>
      <c r="M3149" s="24" t="s">
        <v>71</v>
      </c>
    </row>
    <row r="3150" spans="12:13" x14ac:dyDescent="0.3">
      <c r="L3150" s="18" t="s">
        <v>2083</v>
      </c>
      <c r="M3150" s="23" t="s">
        <v>71</v>
      </c>
    </row>
    <row r="3151" spans="12:13" x14ac:dyDescent="0.3">
      <c r="L3151" s="19" t="s">
        <v>2084</v>
      </c>
      <c r="M3151" s="24" t="s">
        <v>71</v>
      </c>
    </row>
    <row r="3152" spans="12:13" x14ac:dyDescent="0.3">
      <c r="L3152" s="18" t="s">
        <v>2085</v>
      </c>
      <c r="M3152" s="23" t="s">
        <v>71</v>
      </c>
    </row>
    <row r="3153" spans="12:13" x14ac:dyDescent="0.3">
      <c r="L3153" s="19" t="s">
        <v>2086</v>
      </c>
      <c r="M3153" s="24" t="s">
        <v>71</v>
      </c>
    </row>
    <row r="3154" spans="12:13" x14ac:dyDescent="0.3">
      <c r="L3154" s="18" t="s">
        <v>2087</v>
      </c>
      <c r="M3154" s="23" t="s">
        <v>71</v>
      </c>
    </row>
    <row r="3155" spans="12:13" x14ac:dyDescent="0.3">
      <c r="L3155" s="19" t="s">
        <v>2088</v>
      </c>
      <c r="M3155" s="24" t="s">
        <v>71</v>
      </c>
    </row>
    <row r="3156" spans="12:13" x14ac:dyDescent="0.3">
      <c r="L3156" s="18" t="s">
        <v>2089</v>
      </c>
      <c r="M3156" s="23" t="s">
        <v>71</v>
      </c>
    </row>
    <row r="3157" spans="12:13" x14ac:dyDescent="0.3">
      <c r="L3157" s="19" t="s">
        <v>2090</v>
      </c>
      <c r="M3157" s="24" t="s">
        <v>71</v>
      </c>
    </row>
    <row r="3158" spans="12:13" x14ac:dyDescent="0.3">
      <c r="L3158" s="18" t="s">
        <v>2091</v>
      </c>
      <c r="M3158" s="23" t="s">
        <v>71</v>
      </c>
    </row>
    <row r="3159" spans="12:13" x14ac:dyDescent="0.3">
      <c r="L3159" s="19" t="s">
        <v>2092</v>
      </c>
      <c r="M3159" s="24" t="s">
        <v>71</v>
      </c>
    </row>
    <row r="3160" spans="12:13" x14ac:dyDescent="0.3">
      <c r="L3160" s="18" t="s">
        <v>2093</v>
      </c>
      <c r="M3160" s="23" t="s">
        <v>71</v>
      </c>
    </row>
    <row r="3161" spans="12:13" x14ac:dyDescent="0.3">
      <c r="L3161" s="19" t="s">
        <v>2094</v>
      </c>
      <c r="M3161" s="24" t="s">
        <v>71</v>
      </c>
    </row>
    <row r="3162" spans="12:13" x14ac:dyDescent="0.3">
      <c r="L3162" s="18" t="s">
        <v>2095</v>
      </c>
      <c r="M3162" s="23" t="s">
        <v>71</v>
      </c>
    </row>
    <row r="3163" spans="12:13" x14ac:dyDescent="0.3">
      <c r="L3163" s="19" t="s">
        <v>2096</v>
      </c>
      <c r="M3163" s="24" t="s">
        <v>71</v>
      </c>
    </row>
    <row r="3164" spans="12:13" x14ac:dyDescent="0.3">
      <c r="L3164" s="18" t="s">
        <v>2097</v>
      </c>
      <c r="M3164" s="23" t="s">
        <v>71</v>
      </c>
    </row>
    <row r="3165" spans="12:13" x14ac:dyDescent="0.3">
      <c r="L3165" s="19" t="s">
        <v>2098</v>
      </c>
      <c r="M3165" s="24" t="s">
        <v>71</v>
      </c>
    </row>
    <row r="3166" spans="12:13" x14ac:dyDescent="0.3">
      <c r="L3166" s="18" t="s">
        <v>2099</v>
      </c>
      <c r="M3166" s="23" t="s">
        <v>71</v>
      </c>
    </row>
    <row r="3167" spans="12:13" x14ac:dyDescent="0.3">
      <c r="L3167" s="19" t="s">
        <v>2100</v>
      </c>
      <c r="M3167" s="24" t="s">
        <v>71</v>
      </c>
    </row>
    <row r="3168" spans="12:13" x14ac:dyDescent="0.3">
      <c r="L3168" s="18" t="s">
        <v>2101</v>
      </c>
      <c r="M3168" s="23" t="s">
        <v>71</v>
      </c>
    </row>
    <row r="3169" spans="12:13" x14ac:dyDescent="0.3">
      <c r="L3169" s="19" t="s">
        <v>2102</v>
      </c>
      <c r="M3169" s="24" t="s">
        <v>71</v>
      </c>
    </row>
    <row r="3170" spans="12:13" x14ac:dyDescent="0.3">
      <c r="L3170" s="18" t="s">
        <v>2103</v>
      </c>
      <c r="M3170" s="23" t="s">
        <v>71</v>
      </c>
    </row>
    <row r="3171" spans="12:13" x14ac:dyDescent="0.3">
      <c r="L3171" s="19" t="s">
        <v>2104</v>
      </c>
      <c r="M3171" s="24" t="s">
        <v>71</v>
      </c>
    </row>
    <row r="3172" spans="12:13" x14ac:dyDescent="0.3">
      <c r="L3172" s="18" t="s">
        <v>2105</v>
      </c>
      <c r="M3172" s="23" t="s">
        <v>71</v>
      </c>
    </row>
    <row r="3173" spans="12:13" x14ac:dyDescent="0.3">
      <c r="L3173" s="19" t="s">
        <v>2106</v>
      </c>
      <c r="M3173" s="24" t="s">
        <v>71</v>
      </c>
    </row>
    <row r="3174" spans="12:13" x14ac:dyDescent="0.3">
      <c r="L3174" s="18" t="s">
        <v>2107</v>
      </c>
      <c r="M3174" s="23" t="s">
        <v>71</v>
      </c>
    </row>
    <row r="3175" spans="12:13" x14ac:dyDescent="0.3">
      <c r="L3175" s="19" t="s">
        <v>2108</v>
      </c>
      <c r="M3175" s="24" t="s">
        <v>71</v>
      </c>
    </row>
    <row r="3176" spans="12:13" x14ac:dyDescent="0.3">
      <c r="L3176" s="18" t="s">
        <v>2109</v>
      </c>
      <c r="M3176" s="23" t="s">
        <v>71</v>
      </c>
    </row>
    <row r="3177" spans="12:13" x14ac:dyDescent="0.3">
      <c r="L3177" s="19" t="s">
        <v>2110</v>
      </c>
      <c r="M3177" s="24" t="s">
        <v>71</v>
      </c>
    </row>
    <row r="3178" spans="12:13" x14ac:dyDescent="0.3">
      <c r="L3178" s="18" t="s">
        <v>2111</v>
      </c>
      <c r="M3178" s="23" t="s">
        <v>71</v>
      </c>
    </row>
    <row r="3179" spans="12:13" x14ac:dyDescent="0.3">
      <c r="L3179" s="19" t="s">
        <v>2112</v>
      </c>
      <c r="M3179" s="24" t="s">
        <v>71</v>
      </c>
    </row>
    <row r="3180" spans="12:13" x14ac:dyDescent="0.3">
      <c r="L3180" s="18" t="s">
        <v>2113</v>
      </c>
      <c r="M3180" s="23" t="s">
        <v>71</v>
      </c>
    </row>
    <row r="3181" spans="12:13" x14ac:dyDescent="0.3">
      <c r="L3181" s="19" t="s">
        <v>2114</v>
      </c>
      <c r="M3181" s="24" t="s">
        <v>71</v>
      </c>
    </row>
    <row r="3182" spans="12:13" x14ac:dyDescent="0.3">
      <c r="L3182" s="18" t="s">
        <v>2115</v>
      </c>
      <c r="M3182" s="23" t="s">
        <v>71</v>
      </c>
    </row>
    <row r="3183" spans="12:13" x14ac:dyDescent="0.3">
      <c r="L3183" s="19" t="s">
        <v>2116</v>
      </c>
      <c r="M3183" s="24" t="s">
        <v>71</v>
      </c>
    </row>
    <row r="3184" spans="12:13" x14ac:dyDescent="0.3">
      <c r="L3184" s="18" t="s">
        <v>2117</v>
      </c>
      <c r="M3184" s="23" t="s">
        <v>71</v>
      </c>
    </row>
    <row r="3185" spans="12:13" x14ac:dyDescent="0.3">
      <c r="L3185" s="19" t="s">
        <v>2118</v>
      </c>
      <c r="M3185" s="24" t="s">
        <v>71</v>
      </c>
    </row>
    <row r="3186" spans="12:13" x14ac:dyDescent="0.3">
      <c r="L3186" s="18" t="s">
        <v>2119</v>
      </c>
      <c r="M3186" s="23" t="s">
        <v>71</v>
      </c>
    </row>
    <row r="3187" spans="12:13" x14ac:dyDescent="0.3">
      <c r="L3187" s="19" t="s">
        <v>2120</v>
      </c>
      <c r="M3187" s="24" t="s">
        <v>71</v>
      </c>
    </row>
    <row r="3188" spans="12:13" x14ac:dyDescent="0.3">
      <c r="L3188" s="18" t="s">
        <v>2121</v>
      </c>
      <c r="M3188" s="23" t="s">
        <v>71</v>
      </c>
    </row>
    <row r="3189" spans="12:13" x14ac:dyDescent="0.3">
      <c r="L3189" s="19" t="s">
        <v>2122</v>
      </c>
      <c r="M3189" s="24" t="s">
        <v>71</v>
      </c>
    </row>
    <row r="3190" spans="12:13" x14ac:dyDescent="0.3">
      <c r="L3190" s="18" t="s">
        <v>2123</v>
      </c>
      <c r="M3190" s="23" t="s">
        <v>71</v>
      </c>
    </row>
    <row r="3191" spans="12:13" x14ac:dyDescent="0.3">
      <c r="L3191" s="19" t="s">
        <v>2124</v>
      </c>
      <c r="M3191" s="24" t="s">
        <v>71</v>
      </c>
    </row>
    <row r="3192" spans="12:13" x14ac:dyDescent="0.3">
      <c r="L3192" s="18" t="s">
        <v>2125</v>
      </c>
      <c r="M3192" s="23" t="s">
        <v>71</v>
      </c>
    </row>
    <row r="3193" spans="12:13" x14ac:dyDescent="0.3">
      <c r="L3193" s="19" t="s">
        <v>2126</v>
      </c>
      <c r="M3193" s="24" t="s">
        <v>71</v>
      </c>
    </row>
    <row r="3194" spans="12:13" x14ac:dyDescent="0.3">
      <c r="L3194" s="18" t="s">
        <v>2127</v>
      </c>
      <c r="M3194" s="23" t="s">
        <v>71</v>
      </c>
    </row>
    <row r="3195" spans="12:13" x14ac:dyDescent="0.3">
      <c r="L3195" s="19" t="s">
        <v>2128</v>
      </c>
      <c r="M3195" s="24" t="s">
        <v>71</v>
      </c>
    </row>
    <row r="3196" spans="12:13" x14ac:dyDescent="0.3">
      <c r="L3196" s="18" t="s">
        <v>2129</v>
      </c>
      <c r="M3196" s="23" t="s">
        <v>71</v>
      </c>
    </row>
    <row r="3197" spans="12:13" x14ac:dyDescent="0.3">
      <c r="L3197" s="19" t="s">
        <v>2130</v>
      </c>
      <c r="M3197" s="24" t="s">
        <v>71</v>
      </c>
    </row>
    <row r="3198" spans="12:13" x14ac:dyDescent="0.3">
      <c r="L3198" s="18" t="s">
        <v>2131</v>
      </c>
      <c r="M3198" s="23" t="s">
        <v>71</v>
      </c>
    </row>
    <row r="3199" spans="12:13" x14ac:dyDescent="0.3">
      <c r="L3199" s="19" t="s">
        <v>2132</v>
      </c>
      <c r="M3199" s="24" t="s">
        <v>71</v>
      </c>
    </row>
    <row r="3200" spans="12:13" x14ac:dyDescent="0.3">
      <c r="L3200" s="18" t="s">
        <v>2133</v>
      </c>
      <c r="M3200" s="23" t="s">
        <v>71</v>
      </c>
    </row>
    <row r="3201" spans="12:13" x14ac:dyDescent="0.3">
      <c r="L3201" s="19" t="s">
        <v>2134</v>
      </c>
      <c r="M3201" s="24" t="s">
        <v>71</v>
      </c>
    </row>
    <row r="3202" spans="12:13" x14ac:dyDescent="0.3">
      <c r="L3202" s="18" t="s">
        <v>2135</v>
      </c>
      <c r="M3202" s="23" t="s">
        <v>71</v>
      </c>
    </row>
    <row r="3203" spans="12:13" x14ac:dyDescent="0.3">
      <c r="L3203" s="19" t="s">
        <v>2136</v>
      </c>
      <c r="M3203" s="24" t="s">
        <v>71</v>
      </c>
    </row>
    <row r="3204" spans="12:13" x14ac:dyDescent="0.3">
      <c r="L3204" s="18" t="s">
        <v>2137</v>
      </c>
      <c r="M3204" s="23" t="s">
        <v>71</v>
      </c>
    </row>
    <row r="3205" spans="12:13" x14ac:dyDescent="0.3">
      <c r="L3205" s="19" t="s">
        <v>467</v>
      </c>
      <c r="M3205" s="24" t="s">
        <v>71</v>
      </c>
    </row>
    <row r="3206" spans="12:13" x14ac:dyDescent="0.3">
      <c r="L3206" s="18" t="s">
        <v>2138</v>
      </c>
      <c r="M3206" s="23" t="s">
        <v>71</v>
      </c>
    </row>
    <row r="3207" spans="12:13" x14ac:dyDescent="0.3">
      <c r="L3207" s="19" t="s">
        <v>2139</v>
      </c>
      <c r="M3207" s="24" t="s">
        <v>71</v>
      </c>
    </row>
    <row r="3208" spans="12:13" x14ac:dyDescent="0.3">
      <c r="L3208" s="18" t="s">
        <v>2140</v>
      </c>
      <c r="M3208" s="23" t="s">
        <v>71</v>
      </c>
    </row>
    <row r="3209" spans="12:13" x14ac:dyDescent="0.3">
      <c r="L3209" s="19" t="s">
        <v>470</v>
      </c>
      <c r="M3209" s="24" t="s">
        <v>71</v>
      </c>
    </row>
    <row r="3210" spans="12:13" x14ac:dyDescent="0.3">
      <c r="L3210" s="18" t="s">
        <v>2141</v>
      </c>
      <c r="M3210" s="23" t="s">
        <v>71</v>
      </c>
    </row>
    <row r="3211" spans="12:13" x14ac:dyDescent="0.3">
      <c r="L3211" s="19" t="s">
        <v>2142</v>
      </c>
      <c r="M3211" s="24" t="s">
        <v>71</v>
      </c>
    </row>
    <row r="3212" spans="12:13" x14ac:dyDescent="0.3">
      <c r="L3212" s="18" t="s">
        <v>2143</v>
      </c>
      <c r="M3212" s="23" t="s">
        <v>71</v>
      </c>
    </row>
    <row r="3213" spans="12:13" x14ac:dyDescent="0.3">
      <c r="L3213" s="19" t="s">
        <v>2144</v>
      </c>
      <c r="M3213" s="24" t="s">
        <v>71</v>
      </c>
    </row>
    <row r="3214" spans="12:13" x14ac:dyDescent="0.3">
      <c r="L3214" s="18" t="s">
        <v>2145</v>
      </c>
      <c r="M3214" s="23" t="s">
        <v>71</v>
      </c>
    </row>
    <row r="3215" spans="12:13" x14ac:dyDescent="0.3">
      <c r="L3215" s="19" t="s">
        <v>2146</v>
      </c>
      <c r="M3215" s="24" t="s">
        <v>71</v>
      </c>
    </row>
    <row r="3216" spans="12:13" x14ac:dyDescent="0.3">
      <c r="L3216" s="18" t="s">
        <v>2147</v>
      </c>
      <c r="M3216" s="23" t="s">
        <v>71</v>
      </c>
    </row>
    <row r="3217" spans="12:13" x14ac:dyDescent="0.3">
      <c r="L3217" s="19" t="s">
        <v>2148</v>
      </c>
      <c r="M3217" s="24" t="s">
        <v>71</v>
      </c>
    </row>
    <row r="3218" spans="12:13" x14ac:dyDescent="0.3">
      <c r="L3218" s="18" t="s">
        <v>2149</v>
      </c>
      <c r="M3218" s="23" t="s">
        <v>71</v>
      </c>
    </row>
    <row r="3219" spans="12:13" x14ac:dyDescent="0.3">
      <c r="L3219" s="19" t="s">
        <v>2150</v>
      </c>
      <c r="M3219" s="24" t="s">
        <v>71</v>
      </c>
    </row>
    <row r="3220" spans="12:13" x14ac:dyDescent="0.3">
      <c r="L3220" s="18" t="s">
        <v>2151</v>
      </c>
      <c r="M3220" s="23" t="s">
        <v>71</v>
      </c>
    </row>
    <row r="3221" spans="12:13" x14ac:dyDescent="0.3">
      <c r="L3221" s="19" t="s">
        <v>2152</v>
      </c>
      <c r="M3221" s="24" t="s">
        <v>71</v>
      </c>
    </row>
    <row r="3222" spans="12:13" x14ac:dyDescent="0.3">
      <c r="L3222" s="18" t="s">
        <v>2153</v>
      </c>
      <c r="M3222" s="23" t="s">
        <v>71</v>
      </c>
    </row>
    <row r="3223" spans="12:13" x14ac:dyDescent="0.3">
      <c r="L3223" s="19" t="s">
        <v>2154</v>
      </c>
      <c r="M3223" s="24" t="s">
        <v>149</v>
      </c>
    </row>
    <row r="3224" spans="12:13" x14ac:dyDescent="0.3">
      <c r="L3224" s="18" t="s">
        <v>2155</v>
      </c>
      <c r="M3224" s="23" t="s">
        <v>149</v>
      </c>
    </row>
    <row r="3225" spans="12:13" x14ac:dyDescent="0.3">
      <c r="L3225" s="25" t="s">
        <v>2156</v>
      </c>
      <c r="M3225" s="26" t="s">
        <v>149</v>
      </c>
    </row>
  </sheetData>
  <sheetProtection algorithmName="SHA-512" hashValue="KiLaQLG4ZgZNSzpvLNjri9JxA4d7yYzqDf2JjOn7oGOMx21QFgkSdf3T8P3FHNADlQAYVEAdLYsB89bZ9WX4DQ==" saltValue="eZaNIQGuMcjGIal2Vsq82g==" spinCount="100000" sheet="1" objects="1" scenarios="1"/>
  <pageMargins left="0.7" right="0.7" top="0.75" bottom="0.75" header="0.3" footer="0.3"/>
  <pageSetup orientation="portrait" verticalDpi="200" r:id="rId1"/>
  <headerFooter>
    <oddFooter>&amp;L&amp;1#&amp;"Calibri"&amp;9&amp;K0000FFFHLBank San Francisco | Confidential</oddFooter>
  </headerFooter>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4"/>
  <sheetViews>
    <sheetView workbookViewId="0">
      <selection activeCell="U51" sqref="U51:W54"/>
    </sheetView>
  </sheetViews>
  <sheetFormatPr defaultColWidth="9.1796875" defaultRowHeight="13" x14ac:dyDescent="0.3"/>
  <cols>
    <col min="1" max="1" width="20.1796875" style="1" customWidth="1"/>
    <col min="2" max="2" width="30.1796875" style="1" bestFit="1" customWidth="1"/>
    <col min="3" max="3" width="15.1796875" style="1" customWidth="1"/>
    <col min="4" max="4" width="30.453125" style="2" bestFit="1" customWidth="1"/>
    <col min="5" max="5" width="3.453125" style="1" customWidth="1"/>
    <col min="6" max="6" width="19.1796875" style="2" customWidth="1"/>
    <col min="7" max="7" width="25.453125" style="1" bestFit="1" customWidth="1"/>
    <col min="8" max="8" width="25.453125" style="1" customWidth="1"/>
    <col min="9" max="9" width="18" style="1" customWidth="1"/>
    <col min="10" max="10" width="24.453125" style="1" bestFit="1" customWidth="1"/>
    <col min="11" max="16384" width="9.1796875" style="1"/>
  </cols>
  <sheetData>
    <row r="1" spans="1:10" x14ac:dyDescent="0.3">
      <c r="A1" s="3" t="s">
        <v>134</v>
      </c>
      <c r="F1" s="5" t="s">
        <v>44</v>
      </c>
    </row>
    <row r="2" spans="1:10" x14ac:dyDescent="0.3">
      <c r="A2" s="1" t="s">
        <v>5</v>
      </c>
      <c r="B2" s="1" t="s">
        <v>6</v>
      </c>
      <c r="C2" s="1" t="s">
        <v>7</v>
      </c>
      <c r="D2" s="2" t="s">
        <v>8</v>
      </c>
      <c r="F2" s="5" t="s">
        <v>17</v>
      </c>
      <c r="G2" s="1" t="s">
        <v>24</v>
      </c>
      <c r="H2" s="1" t="s">
        <v>27</v>
      </c>
      <c r="I2" s="1" t="s">
        <v>19</v>
      </c>
      <c r="J2" s="1" t="s">
        <v>26</v>
      </c>
    </row>
    <row r="3" spans="1:10" x14ac:dyDescent="0.3">
      <c r="A3" s="1" t="s">
        <v>198</v>
      </c>
      <c r="B3" s="1" t="s">
        <v>199</v>
      </c>
      <c r="C3" s="1" t="s">
        <v>11</v>
      </c>
      <c r="D3" s="2" t="s">
        <v>2513</v>
      </c>
      <c r="F3" s="2">
        <v>-1</v>
      </c>
      <c r="G3" s="1" t="s">
        <v>20</v>
      </c>
      <c r="H3" s="1" t="s">
        <v>31</v>
      </c>
      <c r="I3" s="1" t="s">
        <v>56</v>
      </c>
      <c r="J3" s="1" t="s">
        <v>16</v>
      </c>
    </row>
    <row r="4" spans="1:10" x14ac:dyDescent="0.3">
      <c r="A4" s="1" t="s">
        <v>2407</v>
      </c>
      <c r="B4" s="1" t="s">
        <v>2408</v>
      </c>
      <c r="C4" s="1" t="s">
        <v>11</v>
      </c>
      <c r="D4" s="2" t="str">
        <f>"eForm Version "&amp;D3</f>
        <v>eForm Version 4.0.2</v>
      </c>
      <c r="F4" s="2">
        <v>0</v>
      </c>
      <c r="G4" s="1" t="s">
        <v>21</v>
      </c>
      <c r="H4" s="1" t="s">
        <v>29</v>
      </c>
      <c r="I4" s="1" t="s">
        <v>15</v>
      </c>
      <c r="J4" s="1" t="s">
        <v>16</v>
      </c>
    </row>
    <row r="5" spans="1:10" x14ac:dyDescent="0.3">
      <c r="A5" s="1" t="s">
        <v>139</v>
      </c>
      <c r="B5" s="1" t="s">
        <v>140</v>
      </c>
      <c r="C5" s="1" t="s">
        <v>36</v>
      </c>
      <c r="D5" s="6">
        <v>45712</v>
      </c>
      <c r="F5" s="2">
        <v>1</v>
      </c>
      <c r="G5" s="1" t="s">
        <v>22</v>
      </c>
      <c r="H5" s="1" t="s">
        <v>28</v>
      </c>
      <c r="I5" s="1" t="s">
        <v>25</v>
      </c>
      <c r="J5" s="1" t="s">
        <v>16</v>
      </c>
    </row>
    <row r="6" spans="1:10" x14ac:dyDescent="0.3">
      <c r="A6" s="1" t="s">
        <v>10</v>
      </c>
      <c r="B6" s="1" t="s">
        <v>13</v>
      </c>
      <c r="C6" s="1" t="s">
        <v>11</v>
      </c>
      <c r="D6" s="2" t="str">
        <f>VLOOKUP(DB_TBL_CONFIG_APP[[#This Row],[CONFIG_VAR]],DB_TBL_DATA_FIELDS[[#All],[FIELD_ID]:[FIELD_VALUE_CLEAN]],10,FALSE)</f>
        <v>W</v>
      </c>
      <c r="F6" s="2">
        <v>2</v>
      </c>
      <c r="G6" s="1" t="s">
        <v>23</v>
      </c>
      <c r="H6" s="1" t="s">
        <v>30</v>
      </c>
      <c r="I6" s="1" t="s">
        <v>14</v>
      </c>
      <c r="J6" s="1" t="s">
        <v>16</v>
      </c>
    </row>
    <row r="7" spans="1:10" x14ac:dyDescent="0.3">
      <c r="A7" s="1" t="s">
        <v>34</v>
      </c>
      <c r="B7" s="1" t="s">
        <v>35</v>
      </c>
      <c r="C7" s="1" t="s">
        <v>11</v>
      </c>
      <c r="D7" s="2" t="str">
        <f>IF(D6="W","WISH","IDEA")</f>
        <v>WISH</v>
      </c>
    </row>
    <row r="8" spans="1:10" x14ac:dyDescent="0.3">
      <c r="A8" s="1" t="s">
        <v>2198</v>
      </c>
      <c r="B8" s="1" t="s">
        <v>2202</v>
      </c>
      <c r="C8" s="1" t="s">
        <v>11</v>
      </c>
      <c r="D8" s="2" t="s">
        <v>2200</v>
      </c>
    </row>
    <row r="9" spans="1:10" x14ac:dyDescent="0.3">
      <c r="A9" s="1" t="s">
        <v>2199</v>
      </c>
      <c r="B9" s="1" t="s">
        <v>2203</v>
      </c>
      <c r="C9" s="1" t="s">
        <v>11</v>
      </c>
      <c r="D9" s="2" t="s">
        <v>2201</v>
      </c>
    </row>
    <row r="10" spans="1:10" x14ac:dyDescent="0.3">
      <c r="A10" s="1" t="s">
        <v>145</v>
      </c>
      <c r="B10" s="1" t="s">
        <v>146</v>
      </c>
      <c r="C10" s="1" t="s">
        <v>42</v>
      </c>
      <c r="D10" s="107">
        <v>50000</v>
      </c>
    </row>
    <row r="11" spans="1:10" x14ac:dyDescent="0.3">
      <c r="A11" s="1" t="s">
        <v>2224</v>
      </c>
      <c r="B11" s="1" t="s">
        <v>2208</v>
      </c>
      <c r="C11" s="1" t="s">
        <v>11</v>
      </c>
      <c r="D11" s="2" t="s">
        <v>2448</v>
      </c>
      <c r="F11" s="99" t="s">
        <v>2204</v>
      </c>
      <c r="G11" s="100" t="s">
        <v>2205</v>
      </c>
    </row>
    <row r="12" spans="1:10" x14ac:dyDescent="0.3">
      <c r="A12" s="1" t="s">
        <v>2225</v>
      </c>
      <c r="B12" s="1" t="s">
        <v>2210</v>
      </c>
      <c r="C12" s="1" t="s">
        <v>11</v>
      </c>
      <c r="D12" s="2" t="s">
        <v>2211</v>
      </c>
      <c r="F12" s="98" t="s">
        <v>2195</v>
      </c>
      <c r="G12" s="2" t="s">
        <v>2194</v>
      </c>
    </row>
    <row r="13" spans="1:10" x14ac:dyDescent="0.3">
      <c r="A13" s="1" t="s">
        <v>37</v>
      </c>
      <c r="B13" s="1" t="s">
        <v>2369</v>
      </c>
      <c r="C13" s="1" t="s">
        <v>11</v>
      </c>
      <c r="D13" s="2" t="s">
        <v>2420</v>
      </c>
      <c r="F13" s="98" t="s">
        <v>2195</v>
      </c>
      <c r="G13" s="2" t="s">
        <v>2197</v>
      </c>
    </row>
    <row r="14" spans="1:10" x14ac:dyDescent="0.3">
      <c r="A14" s="1" t="s">
        <v>2191</v>
      </c>
      <c r="B14" s="1" t="s">
        <v>2192</v>
      </c>
      <c r="C14" s="1" t="s">
        <v>11</v>
      </c>
      <c r="D14" s="2" t="s">
        <v>2194</v>
      </c>
    </row>
    <row r="15" spans="1:10" x14ac:dyDescent="0.3">
      <c r="A15" s="1" t="s">
        <v>2190</v>
      </c>
      <c r="B15" s="1" t="s">
        <v>2193</v>
      </c>
      <c r="C15" s="1" t="s">
        <v>11</v>
      </c>
      <c r="D15" s="2" t="s">
        <v>2196</v>
      </c>
    </row>
    <row r="16" spans="1:10" x14ac:dyDescent="0.3">
      <c r="A16" s="1" t="s">
        <v>2411</v>
      </c>
      <c r="B16" s="1" t="s">
        <v>2412</v>
      </c>
      <c r="C16" s="1" t="s">
        <v>42</v>
      </c>
      <c r="D16" s="124">
        <f>Configuration!N8</f>
        <v>10</v>
      </c>
    </row>
    <row r="17" spans="1:4" x14ac:dyDescent="0.3">
      <c r="A17" s="1" t="s">
        <v>2256</v>
      </c>
      <c r="B17" s="1" t="s">
        <v>2257</v>
      </c>
      <c r="C17" s="1" t="s">
        <v>42</v>
      </c>
      <c r="D17" s="124">
        <f>Configuration!N10</f>
        <v>1</v>
      </c>
    </row>
    <row r="18" spans="1:4" x14ac:dyDescent="0.3">
      <c r="A18" s="1" t="s">
        <v>2258</v>
      </c>
      <c r="B18" s="1" t="s">
        <v>2259</v>
      </c>
      <c r="C18" s="1" t="s">
        <v>42</v>
      </c>
      <c r="D18" s="124">
        <f>Configuration!N9</f>
        <v>5</v>
      </c>
    </row>
    <row r="19" spans="1:4" x14ac:dyDescent="0.3">
      <c r="A19" s="1" t="s">
        <v>2464</v>
      </c>
      <c r="B19" s="1" t="s">
        <v>2465</v>
      </c>
      <c r="C19" s="1" t="s">
        <v>42</v>
      </c>
      <c r="D19" s="125">
        <f>Configuration!N11</f>
        <v>0.8</v>
      </c>
    </row>
    <row r="20" spans="1:4" x14ac:dyDescent="0.3">
      <c r="A20" s="1" t="s">
        <v>2262</v>
      </c>
      <c r="B20" s="1" t="s">
        <v>2263</v>
      </c>
      <c r="C20" s="1" t="s">
        <v>42</v>
      </c>
      <c r="D20" s="125">
        <f>Configuration!N12</f>
        <v>1.4</v>
      </c>
    </row>
    <row r="21" spans="1:4" x14ac:dyDescent="0.3">
      <c r="A21" s="1" t="s">
        <v>2308</v>
      </c>
      <c r="B21" s="1" t="s">
        <v>2309</v>
      </c>
      <c r="C21" s="1" t="s">
        <v>42</v>
      </c>
      <c r="D21" s="126">
        <f>Configuration!N13</f>
        <v>1</v>
      </c>
    </row>
    <row r="22" spans="1:4" x14ac:dyDescent="0.3">
      <c r="A22" s="1" t="s">
        <v>2325</v>
      </c>
      <c r="B22" s="1" t="s">
        <v>2326</v>
      </c>
      <c r="C22" s="1" t="s">
        <v>42</v>
      </c>
      <c r="D22" s="126">
        <f>Configuration!N14</f>
        <v>1</v>
      </c>
    </row>
    <row r="23" spans="1:4" x14ac:dyDescent="0.3">
      <c r="A23" s="1" t="s">
        <v>2327</v>
      </c>
      <c r="B23" s="1" t="s">
        <v>2328</v>
      </c>
      <c r="C23" s="1" t="s">
        <v>42</v>
      </c>
      <c r="D23" s="125">
        <f>Configuration!N15</f>
        <v>0.5</v>
      </c>
    </row>
    <row r="24" spans="1:4" x14ac:dyDescent="0.3">
      <c r="A24" s="101" t="s">
        <v>2339</v>
      </c>
      <c r="B24" s="101" t="s">
        <v>2340</v>
      </c>
      <c r="C24" s="101" t="s">
        <v>42</v>
      </c>
      <c r="D24" s="127">
        <f>Configuration!N16</f>
        <v>5.0000000000000001E-3</v>
      </c>
    </row>
  </sheetData>
  <sheetProtection algorithmName="SHA-512" hashValue="gR468/5C2wYJj8g3EyJhRQ1Z4fVkz1mt8HMUh/WtEV6/6kTl1CGDfqVHeKBpnrtVTUkeoqzrdObgMrfCdbR0og==" saltValue="VgVkrV6UuT3+8MFfC4Gh3A==" spinCount="100000" sheet="1" objects="1" scenarios="1"/>
  <pageMargins left="0.7" right="0.7" top="0.75" bottom="0.75" header="0.3" footer="0.3"/>
  <pageSetup orientation="portrait" r:id="rId1"/>
  <headerFooter>
    <oddFooter>&amp;L&amp;1#&amp;"Calibri"&amp;9&amp;K0000FFFHLBank San Francisco | Confidential</oddFooter>
  </headerFooter>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15"/>
  <sheetViews>
    <sheetView topLeftCell="Y1" workbookViewId="0">
      <selection activeCell="U51" sqref="U51:W54"/>
    </sheetView>
  </sheetViews>
  <sheetFormatPr defaultRowHeight="14.5" x14ac:dyDescent="0.35"/>
  <cols>
    <col min="1" max="2" width="20.7265625" customWidth="1"/>
    <col min="3" max="3" width="12.26953125" bestFit="1" customWidth="1"/>
    <col min="4" max="4" width="14.54296875" bestFit="1" customWidth="1"/>
    <col min="5" max="5" width="11.7265625" bestFit="1" customWidth="1"/>
    <col min="6" max="6" width="38.7265625" bestFit="1" customWidth="1"/>
    <col min="7" max="7" width="21" bestFit="1" customWidth="1"/>
    <col min="8" max="8" width="29.26953125" bestFit="1" customWidth="1"/>
    <col min="9" max="9" width="29.81640625" bestFit="1" customWidth="1"/>
    <col min="10" max="10" width="19.7265625" bestFit="1" customWidth="1"/>
    <col min="11" max="11" width="16.7265625" bestFit="1" customWidth="1"/>
    <col min="12" max="12" width="29.7265625" bestFit="1" customWidth="1"/>
    <col min="13" max="13" width="16.1796875" bestFit="1" customWidth="1"/>
    <col min="14" max="14" width="20.81640625" bestFit="1" customWidth="1"/>
    <col min="15" max="15" width="31.81640625" bestFit="1" customWidth="1"/>
    <col min="16" max="17" width="21.54296875" bestFit="1" customWidth="1"/>
    <col min="18" max="18" width="15.1796875" bestFit="1" customWidth="1"/>
    <col min="19" max="19" width="14" bestFit="1" customWidth="1"/>
    <col min="20" max="20" width="16.54296875" bestFit="1" customWidth="1"/>
    <col min="21" max="21" width="19" bestFit="1" customWidth="1"/>
    <col min="22" max="22" width="26.81640625" bestFit="1" customWidth="1"/>
    <col min="23" max="23" width="25.54296875" bestFit="1" customWidth="1"/>
    <col min="24" max="24" width="27.26953125" bestFit="1" customWidth="1"/>
    <col min="25" max="25" width="23.1796875" bestFit="1" customWidth="1"/>
    <col min="26" max="26" width="22.26953125" bestFit="1" customWidth="1"/>
    <col min="27" max="27" width="36.26953125" bestFit="1" customWidth="1"/>
    <col min="28" max="28" width="23" bestFit="1" customWidth="1"/>
    <col min="29" max="29" width="23.7265625" bestFit="1" customWidth="1"/>
    <col min="30" max="30" width="30.7265625" bestFit="1" customWidth="1"/>
    <col min="31" max="31" width="20.7265625" bestFit="1" customWidth="1"/>
    <col min="32" max="32" width="27.1796875" bestFit="1" customWidth="1"/>
    <col min="33" max="33" width="16.26953125" bestFit="1" customWidth="1"/>
    <col min="34" max="34" width="34" bestFit="1" customWidth="1"/>
    <col min="35" max="35" width="48" bestFit="1" customWidth="1"/>
    <col min="36" max="36" width="28.1796875" bestFit="1" customWidth="1"/>
    <col min="37" max="37" width="30" bestFit="1" customWidth="1"/>
    <col min="38" max="38" width="25.81640625" bestFit="1" customWidth="1"/>
    <col min="39" max="39" width="24.81640625" bestFit="1" customWidth="1"/>
    <col min="40" max="40" width="25.7265625" bestFit="1" customWidth="1"/>
    <col min="41" max="41" width="26.453125" bestFit="1" customWidth="1"/>
    <col min="42" max="42" width="33.26953125" bestFit="1" customWidth="1"/>
    <col min="43" max="43" width="15.54296875" bestFit="1" customWidth="1"/>
    <col min="44" max="44" width="16.81640625" bestFit="1" customWidth="1"/>
    <col min="45" max="45" width="27.26953125" bestFit="1" customWidth="1"/>
    <col min="46" max="46" width="29.453125" bestFit="1" customWidth="1"/>
    <col min="47" max="47" width="26.7265625" bestFit="1" customWidth="1"/>
    <col min="48" max="48" width="21" customWidth="1"/>
    <col min="49" max="49" width="24" customWidth="1"/>
    <col min="50" max="50" width="37.54296875" bestFit="1" customWidth="1"/>
    <col min="51" max="51" width="31.1796875" bestFit="1" customWidth="1"/>
    <col min="52" max="52" width="29.453125" bestFit="1" customWidth="1"/>
    <col min="53" max="53" width="31.1796875" bestFit="1" customWidth="1"/>
    <col min="54" max="54" width="29.453125" bestFit="1" customWidth="1"/>
  </cols>
  <sheetData>
    <row r="1" spans="1:54" x14ac:dyDescent="0.35">
      <c r="A1" s="15" t="s">
        <v>136</v>
      </c>
      <c r="B1" s="15" t="s">
        <v>10</v>
      </c>
      <c r="C1" s="106" t="s">
        <v>2231</v>
      </c>
      <c r="D1" s="106" t="s">
        <v>2235</v>
      </c>
      <c r="E1" s="106" t="s">
        <v>2234</v>
      </c>
      <c r="F1" s="106" t="s">
        <v>2239</v>
      </c>
      <c r="G1" s="106" t="s">
        <v>2244</v>
      </c>
      <c r="H1" s="106" t="s">
        <v>2245</v>
      </c>
      <c r="I1" s="106" t="s">
        <v>2246</v>
      </c>
      <c r="J1" s="106" t="s">
        <v>2248</v>
      </c>
      <c r="K1" s="106" t="s">
        <v>2251</v>
      </c>
      <c r="L1" s="106" t="s">
        <v>2254</v>
      </c>
      <c r="M1" s="106" t="s">
        <v>2264</v>
      </c>
      <c r="N1" s="106" t="s">
        <v>2267</v>
      </c>
      <c r="O1" s="106" t="s">
        <v>2270</v>
      </c>
      <c r="P1" s="106" t="s">
        <v>2272</v>
      </c>
      <c r="Q1" s="106" t="s">
        <v>2273</v>
      </c>
      <c r="R1" s="106" t="s">
        <v>2274</v>
      </c>
      <c r="S1" s="106" t="s">
        <v>2275</v>
      </c>
      <c r="T1" s="106" t="s">
        <v>2276</v>
      </c>
      <c r="U1" s="106" t="s">
        <v>2277</v>
      </c>
      <c r="V1" s="106" t="s">
        <v>2266</v>
      </c>
      <c r="W1" s="106" t="s">
        <v>2284</v>
      </c>
      <c r="X1" s="106" t="s">
        <v>2285</v>
      </c>
      <c r="Y1" s="106" t="s">
        <v>2286</v>
      </c>
      <c r="Z1" s="106" t="s">
        <v>2287</v>
      </c>
      <c r="AA1" s="106" t="s">
        <v>2288</v>
      </c>
      <c r="AB1" s="106" t="s">
        <v>2289</v>
      </c>
      <c r="AC1" s="106" t="s">
        <v>2290</v>
      </c>
      <c r="AD1" s="106" t="s">
        <v>2291</v>
      </c>
      <c r="AE1" s="106" t="s">
        <v>2293</v>
      </c>
      <c r="AF1" s="106" t="s">
        <v>2295</v>
      </c>
      <c r="AG1" s="106" t="s">
        <v>2296</v>
      </c>
      <c r="AH1" s="106" t="s">
        <v>2297</v>
      </c>
      <c r="AI1" s="106" t="s">
        <v>2298</v>
      </c>
      <c r="AJ1" s="106" t="s">
        <v>2300</v>
      </c>
      <c r="AK1" s="106" t="s">
        <v>2301</v>
      </c>
      <c r="AL1" s="106" t="s">
        <v>2302</v>
      </c>
      <c r="AM1" s="106" t="s">
        <v>2303</v>
      </c>
      <c r="AN1" s="106" t="s">
        <v>2304</v>
      </c>
      <c r="AO1" s="106" t="s">
        <v>2305</v>
      </c>
      <c r="AP1" s="106" t="s">
        <v>2306</v>
      </c>
      <c r="AQ1" s="106" t="s">
        <v>2353</v>
      </c>
      <c r="AR1" s="106" t="s">
        <v>2358</v>
      </c>
      <c r="AS1" s="106" t="s">
        <v>2421</v>
      </c>
      <c r="AT1" s="106" t="s">
        <v>2422</v>
      </c>
      <c r="AU1" s="106" t="s">
        <v>2423</v>
      </c>
      <c r="AV1" s="138" t="s">
        <v>2452</v>
      </c>
      <c r="AW1" s="138" t="s">
        <v>2453</v>
      </c>
      <c r="AX1" s="138" t="s">
        <v>2457</v>
      </c>
      <c r="AY1" s="15" t="s">
        <v>2493</v>
      </c>
      <c r="AZ1" s="15" t="s">
        <v>2474</v>
      </c>
      <c r="BA1" s="15" t="s">
        <v>2495</v>
      </c>
      <c r="BB1" s="15" t="s">
        <v>2482</v>
      </c>
    </row>
    <row r="2" spans="1:54" x14ac:dyDescent="0.35">
      <c r="A2" s="16" t="str">
        <f ca="1">VLOOKUP(A1,DB_TBL_DATA_FIELDS[[FIELD_ID]:[FIELD_VALUE_CLEAN]],10,FALSE)</f>
        <v>N</v>
      </c>
      <c r="B2" s="16" t="str">
        <f>VLOOKUP(B1,DB_TBL_DATA_FIELDS[[FIELD_ID]:[FIELD_VALUE_CLEAN]],10,FALSE)</f>
        <v>W</v>
      </c>
      <c r="C2" s="16" t="str">
        <f ca="1">VLOOKUP(C1,DB_TBL_DATA_FIELDS[[FIELD_ID]:[FIELD_VALUE_CLEAN]],10,FALSE)</f>
        <v/>
      </c>
      <c r="D2" s="16" t="str">
        <f ca="1">VLOOKUP(D1,DB_TBL_DATA_FIELDS[[FIELD_ID]:[FIELD_VALUE_CLEAN]],10,FALSE)</f>
        <v/>
      </c>
      <c r="E2" s="16" t="str">
        <f ca="1">VLOOKUP(E1,DB_TBL_DATA_FIELDS[[FIELD_ID]:[FIELD_VALUE_CLEAN]],10,FALSE)</f>
        <v/>
      </c>
      <c r="F2" s="16" t="str">
        <f ca="1">VLOOKUP(F1,DB_TBL_DATA_FIELDS[[FIELD_ID]:[FIELD_VALUE_CLEAN]],10,FALSE)</f>
        <v/>
      </c>
      <c r="G2" s="16" t="str">
        <f ca="1">VLOOKUP(G1,DB_TBL_DATA_FIELDS[[FIELD_ID]:[FIELD_VALUE_CLEAN]],10,FALSE)</f>
        <v/>
      </c>
      <c r="H2" s="16" t="str">
        <f ca="1">VLOOKUP(H1,DB_TBL_DATA_FIELDS[[FIELD_ID]:[FIELD_VALUE_CLEAN]],10,FALSE)</f>
        <v/>
      </c>
      <c r="I2" s="16" t="str">
        <f ca="1">VLOOKUP(I1,DB_TBL_DATA_FIELDS[[FIELD_ID]:[FIELD_VALUE_CLEAN]],10,FALSE)</f>
        <v/>
      </c>
      <c r="J2" s="16" t="str">
        <f ca="1">VLOOKUP(J1,DB_TBL_DATA_FIELDS[[FIELD_ID]:[FIELD_VALUE_CLEAN]],10,FALSE)</f>
        <v/>
      </c>
      <c r="K2" s="16" t="str">
        <f ca="1">VLOOKUP(K1,DB_TBL_DATA_FIELDS[[FIELD_ID]:[FIELD_VALUE_CLEAN]],10,FALSE)</f>
        <v/>
      </c>
      <c r="L2" s="16" t="str">
        <f>VLOOKUP(L1,DB_TBL_DATA_FIELDS[[FIELD_ID]:[FIELD_VALUE_CLEAN]],10,FALSE)</f>
        <v/>
      </c>
      <c r="M2" s="16" t="str">
        <f ca="1">VLOOKUP(M1,DB_TBL_DATA_FIELDS[[FIELD_ID]:[FIELD_VALUE_CLEAN]],10,FALSE)</f>
        <v/>
      </c>
      <c r="N2" s="16" t="str">
        <f ca="1">VLOOKUP(N1,DB_TBL_DATA_FIELDS[[FIELD_ID]:[FIELD_VALUE_CLEAN]],10,FALSE)</f>
        <v/>
      </c>
      <c r="O2" s="16" t="str">
        <f ca="1">VLOOKUP(O1,DB_TBL_DATA_FIELDS[[FIELD_ID]:[FIELD_VALUE_CLEAN]],10,FALSE)</f>
        <v/>
      </c>
      <c r="P2" s="16" t="str">
        <f ca="1">VLOOKUP(P1,DB_TBL_DATA_FIELDS[[FIELD_ID]:[FIELD_VALUE_CLEAN]],10,FALSE)</f>
        <v/>
      </c>
      <c r="Q2" s="16" t="str">
        <f ca="1">VLOOKUP(Q1,DB_TBL_DATA_FIELDS[[FIELD_ID]:[FIELD_VALUE_CLEAN]],10,FALSE)</f>
        <v/>
      </c>
      <c r="R2" s="16" t="str">
        <f ca="1">VLOOKUP(R1,DB_TBL_DATA_FIELDS[[FIELD_ID]:[FIELD_VALUE_CLEAN]],10,FALSE)</f>
        <v/>
      </c>
      <c r="S2" s="16" t="str">
        <f ca="1">VLOOKUP(S1,DB_TBL_DATA_FIELDS[[FIELD_ID]:[FIELD_VALUE_CLEAN]],10,FALSE)</f>
        <v/>
      </c>
      <c r="T2" s="16" t="str">
        <f ca="1">VLOOKUP(T1,DB_TBL_DATA_FIELDS[[FIELD_ID]:[FIELD_VALUE_CLEAN]],10,FALSE)</f>
        <v/>
      </c>
      <c r="U2" s="16" t="str">
        <f ca="1">VLOOKUP(U1,DB_TBL_DATA_FIELDS[[FIELD_ID]:[FIELD_VALUE_CLEAN]],10,FALSE)</f>
        <v/>
      </c>
      <c r="V2" s="16" t="str">
        <f ca="1">VLOOKUP(V1,DB_TBL_DATA_FIELDS[[FIELD_ID]:[FIELD_VALUE_CLEAN]],10,FALSE)</f>
        <v/>
      </c>
      <c r="W2" s="16" t="str">
        <f ca="1">VLOOKUP(W1,DB_TBL_DATA_FIELDS[[FIELD_ID]:[FIELD_VALUE_CLEAN]],10,FALSE)</f>
        <v/>
      </c>
      <c r="X2" s="16" t="str">
        <f ca="1">VLOOKUP(X1,DB_TBL_DATA_FIELDS[[FIELD_ID]:[FIELD_VALUE_CLEAN]],10,FALSE)</f>
        <v/>
      </c>
      <c r="Y2" s="16" t="str">
        <f ca="1">VLOOKUP(Y1,DB_TBL_DATA_FIELDS[[FIELD_ID]:[FIELD_VALUE_CLEAN]],10,FALSE)</f>
        <v/>
      </c>
      <c r="Z2" s="16" t="str">
        <f ca="1">VLOOKUP(Z1,DB_TBL_DATA_FIELDS[[FIELD_ID]:[FIELD_VALUE_CLEAN]],10,FALSE)</f>
        <v/>
      </c>
      <c r="AA2" s="16" t="str">
        <f>VLOOKUP(AA1,DB_TBL_DATA_FIELDS[[FIELD_ID]:[FIELD_VALUE_CLEAN]],10,FALSE)</f>
        <v/>
      </c>
      <c r="AB2" s="16" t="str">
        <f ca="1">VLOOKUP(AB1,DB_TBL_DATA_FIELDS[[FIELD_ID]:[FIELD_VALUE_CLEAN]],10,FALSE)</f>
        <v/>
      </c>
      <c r="AC2" s="16" t="str">
        <f ca="1">VLOOKUP(AC1,DB_TBL_DATA_FIELDS[[FIELD_ID]:[FIELD_VALUE_CLEAN]],10,FALSE)</f>
        <v/>
      </c>
      <c r="AD2" s="16" t="str">
        <f>VLOOKUP(AD1,DB_TBL_DATA_FIELDS[[FIELD_ID]:[FIELD_VALUE_CLEAN]],10,FALSE)</f>
        <v/>
      </c>
      <c r="AE2" s="16" t="str">
        <f ca="1">VLOOKUP(AE1,DB_TBL_DATA_FIELDS[[FIELD_ID]:[FIELD_VALUE_CLEAN]],10,FALSE)</f>
        <v/>
      </c>
      <c r="AF2" s="16" t="str">
        <f ca="1">VLOOKUP(AF1,DB_TBL_DATA_FIELDS[[FIELD_ID]:[FIELD_VALUE_CLEAN]],10,FALSE)</f>
        <v/>
      </c>
      <c r="AG2" s="16" t="str">
        <f ca="1">VLOOKUP(AG1,DB_TBL_DATA_FIELDS[[FIELD_ID]:[FIELD_VALUE_CLEAN]],10,FALSE)</f>
        <v/>
      </c>
      <c r="AH2" s="16" t="str">
        <f ca="1">VLOOKUP(AH1,DB_TBL_DATA_FIELDS[[FIELD_ID]:[FIELD_VALUE_CLEAN]],10,FALSE)</f>
        <v/>
      </c>
      <c r="AI2" s="16" t="str">
        <f ca="1">VLOOKUP(AI1,DB_TBL_DATA_FIELDS[[FIELD_ID]:[FIELD_VALUE_CLEAN]],10,FALSE)</f>
        <v/>
      </c>
      <c r="AJ2" s="16" t="str">
        <f ca="1">VLOOKUP(AJ1,DB_TBL_DATA_FIELDS[[FIELD_ID]:[FIELD_VALUE_CLEAN]],10,FALSE)</f>
        <v/>
      </c>
      <c r="AK2" s="16" t="str">
        <f ca="1">VLOOKUP(AK1,DB_TBL_DATA_FIELDS[[FIELD_ID]:[FIELD_VALUE_CLEAN]],10,FALSE)</f>
        <v/>
      </c>
      <c r="AL2" s="16" t="str">
        <f ca="1">VLOOKUP(AL1,DB_TBL_DATA_FIELDS[[FIELD_ID]:[FIELD_VALUE_CLEAN]],10,FALSE)</f>
        <v/>
      </c>
      <c r="AM2" s="16" t="str">
        <f ca="1">VLOOKUP(AM1,DB_TBL_DATA_FIELDS[[FIELD_ID]:[FIELD_VALUE_CLEAN]],10,FALSE)</f>
        <v/>
      </c>
      <c r="AN2" s="16" t="str">
        <f ca="1">VLOOKUP(AN1,DB_TBL_DATA_FIELDS[[FIELD_ID]:[FIELD_VALUE_CLEAN]],10,FALSE)</f>
        <v/>
      </c>
      <c r="AO2" s="16" t="str">
        <f ca="1">VLOOKUP(AO1,DB_TBL_DATA_FIELDS[[FIELD_ID]:[FIELD_VALUE_CLEAN]],10,FALSE)</f>
        <v/>
      </c>
      <c r="AP2" s="16" t="str">
        <f>VLOOKUP(AP1,DB_TBL_DATA_FIELDS[[FIELD_ID]:[FIELD_VALUE_CLEAN]],10,FALSE)</f>
        <v/>
      </c>
      <c r="AQ2" s="16" t="str">
        <f ca="1">VLOOKUP(AQ1,DB_TBL_DATA_FIELDS[[FIELD_ID]:[FIELD_VALUE_CLEAN]],10,FALSE)</f>
        <v/>
      </c>
      <c r="AR2" s="16" t="str">
        <f ca="1">VLOOKUP(AR1,DB_TBL_DATA_FIELDS[[FIELD_ID]:[FIELD_VALUE_CLEAN]],10,FALSE)</f>
        <v/>
      </c>
      <c r="AS2" s="16" t="str">
        <f ca="1">VLOOKUP(AS1,DB_TBL_DATA_FIELDS[[FIELD_ID]:[FIELD_VALUE_CLEAN]],10,FALSE)</f>
        <v/>
      </c>
      <c r="AT2" s="16" t="str">
        <f ca="1">VLOOKUP(AT1,DB_TBL_DATA_FIELDS[[FIELD_ID]:[FIELD_VALUE_CLEAN]],10,FALSE)</f>
        <v/>
      </c>
      <c r="AU2" s="16" t="str">
        <f ca="1">VLOOKUP(AU1,DB_TBL_DATA_FIELDS[[FIELD_ID]:[FIELD_VALUE_CLEAN]],10,FALSE)</f>
        <v/>
      </c>
      <c r="AV2" s="16" t="str">
        <f ca="1">VLOOKUP(AV1,DB_TBL_DATA_FIELDS[[FIELD_ID]:[FIELD_VALUE_CLEAN]],10,FALSE)</f>
        <v/>
      </c>
      <c r="AW2" s="16" t="str">
        <f ca="1">VLOOKUP(AW1,DB_TBL_DATA_FIELDS[[FIELD_ID]:[FIELD_VALUE_CLEAN]],10,FALSE)</f>
        <v/>
      </c>
      <c r="AX2" s="16" t="str">
        <f ca="1">VLOOKUP(AX1,DB_TBL_DATA_FIELDS[[FIELD_ID]:[FIELD_VALUE_CLEAN]],10,FALSE)</f>
        <v/>
      </c>
      <c r="AY2" s="16" t="str">
        <f ca="1">VLOOKUP(AY1,DB_TBL_DATA_FIELDS[[FIELD_ID]:[FIELD_VALUE_CLEAN]],10,FALSE)</f>
        <v/>
      </c>
      <c r="AZ2" s="16" t="str">
        <f ca="1">VLOOKUP(AZ1,DB_TBL_DATA_FIELDS[[FIELD_ID]:[FIELD_VALUE_CLEAN]],10,FALSE)</f>
        <v/>
      </c>
      <c r="BA2" s="16" t="str">
        <f ca="1">VLOOKUP(BA1,DB_TBL_DATA_FIELDS[[FIELD_ID]:[FIELD_VALUE_CLEAN]],10,FALSE)</f>
        <v/>
      </c>
      <c r="BB2" s="16" t="str">
        <f ca="1">VLOOKUP(BB1,DB_TBL_DATA_FIELDS[[FIELD_ID]:[FIELD_VALUE_CLEAN]],10,FALSE)</f>
        <v/>
      </c>
    </row>
    <row r="15" spans="1:54" x14ac:dyDescent="0.35">
      <c r="L15" s="163"/>
    </row>
  </sheetData>
  <sheetProtection algorithmName="SHA-512" hashValue="6/NZNUsUUmb9AKDtGSuT6AjkhHp30Ust6QH2w23V8/kEMQO+d/vVKKRQGeksIbKAl27arNjF01G0BTLjtqnnDg==" saltValue="H+y/YJ2RiEtmgZAmLrcm4g==" spinCount="100000" sheet="1" objects="1" scenarios="1"/>
  <pageMargins left="0.7" right="0.7" top="0.75" bottom="0.75" header="0.3" footer="0.3"/>
  <pageSetup orientation="portrait" r:id="rId1"/>
  <headerFooter>
    <oddFooter>&amp;L&amp;1#&amp;"Calibri"&amp;9&amp;K0000FFFHLBank San Francisco | Confidential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z Y K a V o 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N g p p 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Y K a V i i K R 7 g O A A A A E Q A A A B M A H A B G b 3 J t d W x h c y 9 T Z W N 0 a W 9 u M S 5 t I K I Y A C i g F A A A A A A A A A A A A A A A A A A A A A A A A A A A A C t O T S 7 J z M 9 T C I b Q h t Y A U E s B A i 0 A F A A C A A g A z Y K a V o v I e J u j A A A A 9 g A A A B I A A A A A A A A A A A A A A A A A A A A A A E N v b m Z p Z y 9 Q Y W N r Y W d l L n h t b F B L A Q I t A B Q A A g A I A M 2 C m l Y P y u m r p A A A A O k A A A A T A A A A A A A A A A A A A A A A A O 8 A A A B b Q 2 9 u d G V u d F 9 U e X B l c 1 0 u e G 1 s U E s B A i 0 A F A A C A A g A z Y K a V 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X D k h s n T 2 V M m d 6 H p Y l 9 T h o A A A A A A g A A A A A A A 2 Y A A M A A A A A Q A A A A 5 L H k 5 Q i K k L 1 9 8 j P 9 T C g a v A A A A A A E g A A A o A A A A B A A A A A r h A D 9 e U g 9 P Q r c X 7 u t L R E P U A A A A L Q s a 4 X I 8 1 O O Q v F t 7 P P R P t i 8 4 N v x 9 h R L M J 8 z J d 0 k j h M 0 k A Y j V q F K a Y X L 6 E 4 N P X e f s O 9 v b K W M D K 7 a I k e 2 v j t l b a S 7 J K N s m W / 3 M r C 0 Y E d 8 S p M g F A A A A P 1 z W Y o X o D T O P S y 7 m A s V Q 1 U R g P K U < / D a t a M a s h u p > 
</file>

<file path=customXml/itemProps1.xml><?xml version="1.0" encoding="utf-8"?>
<ds:datastoreItem xmlns:ds="http://schemas.openxmlformats.org/officeDocument/2006/customXml" ds:itemID="{4E5C53EB-27F4-4033-967C-FE1B7AEDDF5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119</vt:i4>
      </vt:variant>
    </vt:vector>
  </HeadingPairs>
  <TitlesOfParts>
    <vt:vector size="125" baseType="lpstr">
      <vt:lpstr>WISH</vt:lpstr>
      <vt:lpstr>Configuration</vt:lpstr>
      <vt:lpstr>$DB.DATA</vt:lpstr>
      <vt:lpstr>$DB.LOOKUP</vt:lpstr>
      <vt:lpstr>$DB.CONFIG</vt:lpstr>
      <vt:lpstr>$DB.EXPORT</vt:lpstr>
      <vt:lpstr>CONFIG_APR_DIFF_THRESHOLD</vt:lpstr>
      <vt:lpstr>CONFIG_CHAR_LIMIT_TEMPLATE</vt:lpstr>
      <vt:lpstr>CONFIG_CHAR_LIMIT_TEMPLATE_ERR</vt:lpstr>
      <vt:lpstr>CONFIG_EFORM_VERSION_DISP</vt:lpstr>
      <vt:lpstr>CONFIG_HOUSING_EXP_RATIO_LIMIT</vt:lpstr>
      <vt:lpstr>CONFIG_HOUSING_EXP_RATIO_THRESHOLD</vt:lpstr>
      <vt:lpstr>CONFIG_IDEA_SAVINGS_MONTH_MIN</vt:lpstr>
      <vt:lpstr>CONFIG_IDEA_TERM_LIMIT_YEARS</vt:lpstr>
      <vt:lpstr>CONFIG_INCOME_TO_AMI_FLOOR</vt:lpstr>
      <vt:lpstr>CONFIG_INCOME_TO_AMI_LIMIT</vt:lpstr>
      <vt:lpstr>CONFIG_SECOND_MTG_INT_RATE_FLOOR</vt:lpstr>
      <vt:lpstr>CONFIG_SUBSIDY_MAX_TOTAL</vt:lpstr>
      <vt:lpstr>CONFIG_WISH_TERM_LIMIT_YEARS</vt:lpstr>
      <vt:lpstr>COUNTY_RANGE_</vt:lpstr>
      <vt:lpstr>COUNTY_RANGE_AK</vt:lpstr>
      <vt:lpstr>COUNTY_RANGE_AL</vt:lpstr>
      <vt:lpstr>COUNTY_RANGE_AR</vt:lpstr>
      <vt:lpstr>COUNTY_RANGE_AZ</vt:lpstr>
      <vt:lpstr>COUNTY_RANGE_CA</vt:lpstr>
      <vt:lpstr>COUNTY_RANGE_CO</vt:lpstr>
      <vt:lpstr>COUNTY_RANGE_CT</vt:lpstr>
      <vt:lpstr>COUNTY_RANGE_DC</vt:lpstr>
      <vt:lpstr>COUNTY_RANGE_DE</vt:lpstr>
      <vt:lpstr>COUNTY_RANGE_FL</vt:lpstr>
      <vt:lpstr>COUNTY_RANGE_GA</vt:lpstr>
      <vt:lpstr>COUNTY_RANGE_GU</vt:lpstr>
      <vt:lpstr>COUNTY_RANGE_HI</vt:lpstr>
      <vt:lpstr>COUNTY_RANGE_IA</vt:lpstr>
      <vt:lpstr>COUNTY_RANGE_ID</vt:lpstr>
      <vt:lpstr>COUNTY_RANGE_IL</vt:lpstr>
      <vt:lpstr>COUNTY_RANGE_IN</vt:lpstr>
      <vt:lpstr>COUNTY_RANGE_KS</vt:lpstr>
      <vt:lpstr>COUNTY_RANGE_KY</vt:lpstr>
      <vt:lpstr>COUNTY_RANGE_LA</vt:lpstr>
      <vt:lpstr>COUNTY_RANGE_MA</vt:lpstr>
      <vt:lpstr>COUNTY_RANGE_MD</vt:lpstr>
      <vt:lpstr>COUNTY_RANGE_ME</vt:lpstr>
      <vt:lpstr>COUNTY_RANGE_MI</vt:lpstr>
      <vt:lpstr>COUNTY_RANGE_MN</vt:lpstr>
      <vt:lpstr>COUNTY_RANGE_MO</vt:lpstr>
      <vt:lpstr>COUNTY_RANGE_MS</vt:lpstr>
      <vt:lpstr>COUNTY_RANGE_MT</vt:lpstr>
      <vt:lpstr>COUNTY_RANGE_NC</vt:lpstr>
      <vt:lpstr>COUNTY_RANGE_ND</vt:lpstr>
      <vt:lpstr>COUNTY_RANGE_NE</vt:lpstr>
      <vt:lpstr>COUNTY_RANGE_NH</vt:lpstr>
      <vt:lpstr>COUNTY_RANGE_NJ</vt:lpstr>
      <vt:lpstr>COUNTY_RANGE_NM</vt:lpstr>
      <vt:lpstr>COUNTY_RANGE_NV</vt:lpstr>
      <vt:lpstr>COUNTY_RANGE_NY</vt:lpstr>
      <vt:lpstr>COUNTY_RANGE_OH</vt:lpstr>
      <vt:lpstr>COUNTY_RANGE_OK</vt:lpstr>
      <vt:lpstr>COUNTY_RANGE_OR</vt:lpstr>
      <vt:lpstr>COUNTY_RANGE_PA</vt:lpstr>
      <vt:lpstr>COUNTY_RANGE_PR</vt:lpstr>
      <vt:lpstr>COUNTY_RANGE_RI</vt:lpstr>
      <vt:lpstr>COUNTY_RANGE_SC</vt:lpstr>
      <vt:lpstr>COUNTY_RANGE_SD</vt:lpstr>
      <vt:lpstr>COUNTY_RANGE_TN</vt:lpstr>
      <vt:lpstr>COUNTY_RANGE_TX</vt:lpstr>
      <vt:lpstr>COUNTY_RANGE_UT</vt:lpstr>
      <vt:lpstr>COUNTY_RANGE_VA</vt:lpstr>
      <vt:lpstr>COUNTY_RANGE_VI</vt:lpstr>
      <vt:lpstr>COUNTY_RANGE_VT</vt:lpstr>
      <vt:lpstr>COUNTY_RANGE_WA</vt:lpstr>
      <vt:lpstr>COUNTY_RANGE_WI</vt:lpstr>
      <vt:lpstr>COUNTY_RANGE_WV</vt:lpstr>
      <vt:lpstr>COUNTY_RANGE_WY</vt:lpstr>
      <vt:lpstr>DATA_HOMEBUYER_1_ETHNICITY</vt:lpstr>
      <vt:lpstr>DATA_HOMEBUYER_2_ETHNICITY</vt:lpstr>
      <vt:lpstr>DATA_HOMEBUYER_2_FIRST_NAME</vt:lpstr>
      <vt:lpstr>DATA_HOMEBUYER_2_LAST_NAME</vt:lpstr>
      <vt:lpstr>DATA_HOMEBUYER_2_MIDDLE_NAME</vt:lpstr>
      <vt:lpstr>DATA_HOUSEHOLD_INCOME</vt:lpstr>
      <vt:lpstr>DATA_HUD_AMI_LIMIT</vt:lpstr>
      <vt:lpstr>ESCROW_OPEN_DATE_REQUIRED</vt:lpstr>
      <vt:lpstr>FINAL_SAVINGS_DEPOSIT_DATE</vt:lpstr>
      <vt:lpstr>FIRST_MORTGAGE_APR</vt:lpstr>
      <vt:lpstr>FIRST_MORTGAGE_APR_EXPLANATION_OTHER_REQUIRED</vt:lpstr>
      <vt:lpstr>FIRST_MORTGAGE_APR_EXPLANATION_PRESET_REQUIRED</vt:lpstr>
      <vt:lpstr>FIRST_MORTGAGE_APR_EXPLANATION_REQUIRED</vt:lpstr>
      <vt:lpstr>FIRST_MORTGAGE_EXPLANATION_OTHER</vt:lpstr>
      <vt:lpstr>FIRST_MORTGAGE_RATE</vt:lpstr>
      <vt:lpstr>FIRST_NAME</vt:lpstr>
      <vt:lpstr>FIRST_SAVINGS_DEPOSIT_DATE</vt:lpstr>
      <vt:lpstr>HOEPA_FIRST_MORTGAGE_EXPLANATION_REQUIRED</vt:lpstr>
      <vt:lpstr>HOEPA_FLAG_FIRST_MORTGAGE</vt:lpstr>
      <vt:lpstr>HOEPA_FLAG_SECOND_MORTGAGE</vt:lpstr>
      <vt:lpstr>HOEPA_SECOND_MORTGAGE_EXPLANATION_REQUIRED</vt:lpstr>
      <vt:lpstr>HOMEOWNER_CONTRIBUTION_AMOUNT</vt:lpstr>
      <vt:lpstr>HOUSING_EXPENSE_INCOME_RATIO_EXPLANATION_REQUIRED</vt:lpstr>
      <vt:lpstr>LAST_NAME</vt:lpstr>
      <vt:lpstr>LOAN_CLOSING_DATE</vt:lpstr>
      <vt:lpstr>LOOKUP_APPTYPE_WISH</vt:lpstr>
      <vt:lpstr>MIDDLE_NAME</vt:lpstr>
      <vt:lpstr>OTHER_GRANTS_FLAG</vt:lpstr>
      <vt:lpstr>Configuration!Print_Area</vt:lpstr>
      <vt:lpstr>WISH!Print_Area</vt:lpstr>
      <vt:lpstr>Configuration!Print_Titles</vt:lpstr>
      <vt:lpstr>PROGRAM_ENROLLMENT_DATE</vt:lpstr>
      <vt:lpstr>RANGE_LOOKUP_COUNTY_PLACEHOLDER</vt:lpstr>
      <vt:lpstr>RANGE_LOOKUP_ETHNICITY</vt:lpstr>
      <vt:lpstr>RANGE_LOOKUP_FIRSTMTG_EXPLANATION</vt:lpstr>
      <vt:lpstr>RANGE_LOOKUP_MORTGAGETYPE</vt:lpstr>
      <vt:lpstr>RANGE_LOOKUP_PROGRAMTYPE</vt:lpstr>
      <vt:lpstr>RANGE_LOOKUP_STATE</vt:lpstr>
      <vt:lpstr>RANGE_LOOKUP_YESNO</vt:lpstr>
      <vt:lpstr>RANGE_LOOKUP_YESNONA</vt:lpstr>
      <vt:lpstr>REQUESTED_AMOUNT</vt:lpstr>
      <vt:lpstr>SECOND_MORTGAGE_APR</vt:lpstr>
      <vt:lpstr>SECOND_MORTGAGE_RATE</vt:lpstr>
      <vt:lpstr>SECOND_MTG_FLAG</vt:lpstr>
      <vt:lpstr>TARGET_CONFIG_TOP</vt:lpstr>
      <vt:lpstr>TARGET_WISH_1_START</vt:lpstr>
      <vt:lpstr>TARGET_WISH_3_START</vt:lpstr>
      <vt:lpstr>TARGET_WISH_4_START</vt:lpstr>
      <vt:lpstr>TARGET_WISH_5_START</vt:lpstr>
      <vt:lpstr>TARGET_WISH_6_START</vt:lpstr>
      <vt:lpstr>TARGET_WISH_TOP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2026-02-18T17:22:58Z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6b385a4-c4f2-4c8e-b56c-f802145fa077_Enabled">
    <vt:lpwstr>true</vt:lpwstr>
  </property>
  <property fmtid="{D5CDD505-2E9C-101B-9397-08002B2CF9AE}" pid="3" name="MSIP_Label_f6b385a4-c4f2-4c8e-b56c-f802145fa077_SetDate">
    <vt:lpwstr>2023-07-10T17:37:27Z</vt:lpwstr>
  </property>
  <property fmtid="{D5CDD505-2E9C-101B-9397-08002B2CF9AE}" pid="4" name="MSIP_Label_f6b385a4-c4f2-4c8e-b56c-f802145fa077_Method">
    <vt:lpwstr>Privileged</vt:lpwstr>
  </property>
  <property fmtid="{D5CDD505-2E9C-101B-9397-08002B2CF9AE}" pid="5" name="MSIP_Label_f6b385a4-c4f2-4c8e-b56c-f802145fa077_Name">
    <vt:lpwstr>Internal</vt:lpwstr>
  </property>
  <property fmtid="{D5CDD505-2E9C-101B-9397-08002B2CF9AE}" pid="6" name="MSIP_Label_f6b385a4-c4f2-4c8e-b56c-f802145fa077_SiteId">
    <vt:lpwstr>f0780ff9-b2ea-4cc5-aac1-4c940bd78c8c</vt:lpwstr>
  </property>
  <property fmtid="{D5CDD505-2E9C-101B-9397-08002B2CF9AE}" pid="7" name="MSIP_Label_f6b385a4-c4f2-4c8e-b56c-f802145fa077_ActionId">
    <vt:lpwstr>cc815d5a-dfc2-45ed-aa53-788101f55706</vt:lpwstr>
  </property>
  <property fmtid="{D5CDD505-2E9C-101B-9397-08002B2CF9AE}" pid="8" name="MSIP_Label_f6b385a4-c4f2-4c8e-b56c-f802145fa077_ContentBits">
    <vt:lpwstr>2</vt:lpwstr>
  </property>
</Properties>
</file>