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J:\TEMP\2025\Research\Self-Score Worksheet\"/>
    </mc:Choice>
  </mc:AlternateContent>
  <xr:revisionPtr revIDLastSave="0" documentId="13_ncr:1_{374B56CB-D506-4FE8-B99C-76F873FF75B2}" xr6:coauthVersionLast="47" xr6:coauthVersionMax="47" xr10:uidLastSave="{00000000-0000-0000-0000-000000000000}"/>
  <bookViews>
    <workbookView xWindow="38990" yWindow="1680" windowWidth="27130" windowHeight="15430" xr2:uid="{CC8F1C40-B769-49DA-9760-B4386C7EF84F}"/>
  </bookViews>
  <sheets>
    <sheet name="2026 Estimated Score" sheetId="2" r:id="rId1"/>
    <sheet name="Sheet2" sheetId="3" state="hidden" r:id="rId2"/>
    <sheet name="2025 Scoring Results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2" i="2" l="1"/>
  <c r="C91" i="2"/>
  <c r="C119" i="2"/>
  <c r="E113" i="2"/>
  <c r="E114" i="2"/>
  <c r="E115" i="2"/>
  <c r="E112" i="2"/>
  <c r="C120" i="2"/>
  <c r="C118" i="2"/>
  <c r="C121" i="2" l="1"/>
  <c r="C122" i="2" s="1"/>
  <c r="C123" i="2" s="1"/>
  <c r="C126" i="2"/>
  <c r="C125" i="2" l="1"/>
  <c r="C103" i="2"/>
  <c r="C105" i="2" s="1"/>
  <c r="C99" i="2"/>
  <c r="C90" i="2"/>
  <c r="C87" i="2"/>
  <c r="C67" i="2"/>
  <c r="C66" i="2"/>
  <c r="C57" i="2"/>
  <c r="C46" i="2"/>
  <c r="D44" i="2" s="1"/>
  <c r="C43" i="2"/>
  <c r="C40" i="2"/>
  <c r="D38" i="2" s="1"/>
  <c r="D93" i="2" l="1"/>
  <c r="D64" i="2"/>
  <c r="C49" i="2" l="1" a="1"/>
  <c r="C49" i="2" s="1"/>
  <c r="C48" i="2" a="1"/>
  <c r="C48" i="2" s="1"/>
  <c r="D41" i="2" s="1"/>
  <c r="D14" i="2" s="1"/>
  <c r="C47" i="2" a="1"/>
  <c r="C47" i="2" s="1"/>
  <c r="C100" i="2" l="1"/>
  <c r="D97" i="2" s="1" a="1"/>
  <c r="D97" i="2" s="1"/>
  <c r="D23" i="2" l="1"/>
  <c r="C58" i="2"/>
  <c r="C59" i="2" s="1"/>
  <c r="D82" i="2" l="1" a="1"/>
  <c r="D82" i="2" s="1"/>
  <c r="D81" i="2" a="1"/>
  <c r="D81" i="2" s="1"/>
  <c r="D21" i="2" l="1"/>
  <c r="C124" i="2"/>
  <c r="C127" i="2" s="1"/>
  <c r="C128" i="2" s="1"/>
  <c r="C129" i="2" s="1"/>
  <c r="D129" i="2" s="1"/>
  <c r="C130" i="2" s="1" a="1"/>
  <c r="C130" i="2" s="1"/>
  <c r="C75" i="2"/>
  <c r="D73" i="2" s="1" a="1"/>
  <c r="D73" i="2" s="1"/>
  <c r="D19" i="2" s="1"/>
  <c r="D70" i="2" a="1"/>
  <c r="D70" i="2" s="1"/>
  <c r="D18" i="2" s="1"/>
  <c r="D17" i="2"/>
  <c r="D29" i="2" l="1"/>
  <c r="C26" i="2"/>
  <c r="C104" i="2"/>
  <c r="C106" i="2" s="1"/>
  <c r="C107" i="2" s="1"/>
  <c r="D103" i="2" s="1"/>
  <c r="D94" i="2"/>
  <c r="D22" i="2" s="1"/>
  <c r="D78" i="2"/>
  <c r="D20" i="2" s="1"/>
  <c r="D33" i="2" a="1"/>
  <c r="D33" i="2" s="1"/>
  <c r="D35" i="2"/>
  <c r="C60" i="2"/>
  <c r="C61" i="2" s="1"/>
  <c r="D55" i="2" l="1"/>
  <c r="D16" i="2" s="1"/>
  <c r="D24" i="2" l="1"/>
  <c r="D110" i="2"/>
  <c r="D34" i="2"/>
  <c r="D52" i="2" l="1"/>
  <c r="D15" i="2" s="1"/>
  <c r="D30" i="2"/>
  <c r="D25" i="2" l="1"/>
  <c r="D32" i="2" a="1"/>
  <c r="D32" i="2" s="1"/>
  <c r="D31" i="2" a="1"/>
  <c r="D31" i="2" s="1"/>
  <c r="D13" i="2" l="1" a="1"/>
  <c r="D13" i="2" s="1"/>
  <c r="D26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Chou, Kelly</author>
  </authors>
  <commentList>
    <comment ref="B112" authorId="0" shapeId="0" xr:uid="{BBF91FCF-5FE1-4415-A490-4592F4EAB56F}">
      <text>
        <r>
          <rPr>
            <sz val="9"/>
            <color indexed="81"/>
            <rFont val="Tahoma"/>
            <family val="2"/>
          </rPr>
          <t xml:space="preserve">Enter AMI percentage between 51% to 80% only 
</t>
        </r>
      </text>
    </comment>
    <comment ref="B113" authorId="0" shapeId="0" xr:uid="{5BECA55F-6D07-4F2E-8617-3AA5B9C06E22}">
      <text>
        <r>
          <rPr>
            <sz val="9"/>
            <color indexed="81"/>
            <rFont val="Tahoma"/>
            <family val="2"/>
          </rPr>
          <t xml:space="preserve">Enter AMI percentage between 51% to 80% only 
</t>
        </r>
      </text>
    </comment>
    <comment ref="B114" authorId="0" shapeId="0" xr:uid="{06EE86AC-FED3-484E-BF4F-27265EA6F6F7}">
      <text>
        <r>
          <rPr>
            <sz val="9"/>
            <color indexed="81"/>
            <rFont val="Tahoma"/>
            <family val="2"/>
          </rPr>
          <t xml:space="preserve">Enter AMI percentage between 51% to 80% only 
</t>
        </r>
      </text>
    </comment>
    <comment ref="B115" authorId="0" shapeId="0" xr:uid="{BB738128-26BD-43F8-BA59-55648DF3108A}">
      <text>
        <r>
          <rPr>
            <sz val="9"/>
            <color indexed="81"/>
            <rFont val="Tahoma"/>
            <family val="2"/>
          </rPr>
          <t xml:space="preserve">Enter AMI percentage between 51% to 80% only 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<sst xmlns="http://schemas.openxmlformats.org/spreadsheetml/2006/main" count="215" uniqueCount="172">
  <si>
    <t>Category</t>
  </si>
  <si>
    <t>Maximum Points</t>
  </si>
  <si>
    <t>Estimated Score</t>
  </si>
  <si>
    <t>Community Stability</t>
  </si>
  <si>
    <t>Donated Property</t>
  </si>
  <si>
    <t>Empowerment</t>
  </si>
  <si>
    <t>Homeless</t>
  </si>
  <si>
    <t>In District</t>
  </si>
  <si>
    <t>Large Units</t>
  </si>
  <si>
    <t>Native Housing</t>
  </si>
  <si>
    <t>Nonprofit Sponsorship</t>
  </si>
  <si>
    <t>Project Readiness</t>
  </si>
  <si>
    <t>Rural</t>
  </si>
  <si>
    <t>Special Needs</t>
  </si>
  <si>
    <t>Subsidy Per Unit</t>
  </si>
  <si>
    <t>Targeting</t>
  </si>
  <si>
    <t>Substantial Rehabilitation</t>
  </si>
  <si>
    <t>None</t>
  </si>
  <si>
    <t>6) Preventing or Minimizing Household Displacement</t>
  </si>
  <si>
    <t>Infill</t>
  </si>
  <si>
    <t>Applicable</t>
  </si>
  <si>
    <t>No Displacement</t>
  </si>
  <si>
    <t>Not Applicable</t>
  </si>
  <si>
    <t>Project Site is Occupied and an Acceptable Relocation Plan is in Place</t>
  </si>
  <si>
    <t>Displacement with no Mitigation</t>
  </si>
  <si>
    <t>3) # of Transit Options</t>
  </si>
  <si>
    <t>4) Sustainable Developments</t>
  </si>
  <si>
    <t>3) Proximity to Transit and Amenities</t>
  </si>
  <si>
    <t>Select from drop down menu</t>
  </si>
  <si>
    <t>LEED Certified</t>
  </si>
  <si>
    <t>GreenPoint Certified</t>
  </si>
  <si>
    <t xml:space="preserve">Rehab HERS rating - 20% improvement </t>
  </si>
  <si>
    <t>National Green Building Standard Bronze</t>
  </si>
  <si>
    <t>LEED Silver</t>
  </si>
  <si>
    <t>GreenPoint Silver</t>
  </si>
  <si>
    <t>Enterprise Green Communities</t>
  </si>
  <si>
    <t>National Green Building Standard Silver</t>
  </si>
  <si>
    <t xml:space="preserve">Rehab HERS rating - 25% improvement </t>
  </si>
  <si>
    <t>LEED Gold or Higher</t>
  </si>
  <si>
    <t>GreenPoint Gold or Higher</t>
  </si>
  <si>
    <t>National Green Building Standard Gold or Higher</t>
  </si>
  <si>
    <t xml:space="preserve">Rehab HERS rating - 30% improvement </t>
  </si>
  <si>
    <t xml:space="preserve">LEED-certified Net Zero Certification </t>
  </si>
  <si>
    <t>Enterprise Green Communities 2020 Plus Certification</t>
  </si>
  <si>
    <t>Silver State Sustainable Home Tier 1</t>
  </si>
  <si>
    <t>Silver State Sustainable Home Tier 2</t>
  </si>
  <si>
    <t>Silver State Sustainable Home Tier 3</t>
  </si>
  <si>
    <t>5) Economic Integration</t>
  </si>
  <si>
    <t>5) Location in High Resource Areas or Upper-Income Census Tracts</t>
  </si>
  <si>
    <t>Yes</t>
  </si>
  <si>
    <t>No</t>
  </si>
  <si>
    <t>Units Reserved for Homeless</t>
  </si>
  <si>
    <t>Step 1: Units in Excess of 20% Threshold</t>
  </si>
  <si>
    <t>Step 2: Units in Excess Factor</t>
  </si>
  <si>
    <t>Step 3: Multiply Factor by 3 Points</t>
  </si>
  <si>
    <t>Step 4: Project's Score</t>
  </si>
  <si>
    <t>Threshold</t>
  </si>
  <si>
    <t>Excess of Threshold</t>
  </si>
  <si>
    <t>Total Category Points</t>
  </si>
  <si>
    <t>Minimum Category Points for 20% Threshold</t>
  </si>
  <si>
    <t>Score</t>
  </si>
  <si>
    <t>% Large Units</t>
  </si>
  <si>
    <t xml:space="preserve">Nonprofit Ownership </t>
  </si>
  <si>
    <t>&gt; 50%</t>
  </si>
  <si>
    <t>&gt; 30% and &lt; or = 50%</t>
  </si>
  <si>
    <t>&lt; or = 30%</t>
  </si>
  <si>
    <t>Developer Fee</t>
  </si>
  <si>
    <t>Sponsor receives &lt;25% of total developer fee</t>
  </si>
  <si>
    <t>Project has no developer fee</t>
  </si>
  <si>
    <t>Sponsor receives = or &gt;25% of total developer fee</t>
  </si>
  <si>
    <t>Full site control</t>
  </si>
  <si>
    <t>Partial site control</t>
  </si>
  <si>
    <t>Building permit issuance or permit ready letter</t>
  </si>
  <si>
    <t>Total Units</t>
  </si>
  <si>
    <t>Points Possible</t>
  </si>
  <si>
    <t>Project Max Subsidy</t>
  </si>
  <si>
    <t>Subsidy/Unit Rental Min</t>
  </si>
  <si>
    <t>Subsidy/Unit Rental Max</t>
  </si>
  <si>
    <t>Rental Factor</t>
  </si>
  <si>
    <t>Project's Subsidy Request - Low End of Subsidy Range</t>
  </si>
  <si>
    <t>(Project's Subsidy Request - Low End) * Rental Factor</t>
  </si>
  <si>
    <t>Full 4 points - Subsidy in Excess</t>
  </si>
  <si>
    <t>Units Targeted to 50% AMI or below</t>
  </si>
  <si>
    <t>Calculate WAAMIT for remaining units</t>
  </si>
  <si>
    <t>Subtract WAAMIT from 80%</t>
  </si>
  <si>
    <t>Multiply by remaining possible points</t>
  </si>
  <si>
    <t>Name of Project</t>
  </si>
  <si>
    <t xml:space="preserve">Non-Income Restricted Units </t>
  </si>
  <si>
    <t>Income Restricted Units</t>
  </si>
  <si>
    <t>Total Units in Project</t>
  </si>
  <si>
    <t>Units Reserved for Special Needs</t>
  </si>
  <si>
    <t>California</t>
  </si>
  <si>
    <t>Arizona</t>
  </si>
  <si>
    <t>Nevada</t>
  </si>
  <si>
    <t>Full - Multiply Factor by 3 Points</t>
  </si>
  <si>
    <t>Partial - Multiply Factor by 2 Points</t>
  </si>
  <si>
    <t>% Total Units at 50% or less</t>
  </si>
  <si>
    <t>Subtract base score from 20 (remaining poss pts)</t>
  </si>
  <si>
    <t>Step 1</t>
  </si>
  <si>
    <t>Step 2</t>
  </si>
  <si>
    <t># of Units</t>
  </si>
  <si>
    <t>Divide remaining poss pts by 30</t>
  </si>
  <si>
    <t>80 minus WAAMIT for units betw 50 &amp; 80%AMI</t>
  </si>
  <si>
    <t>Final Score (base score plus adjustments)</t>
  </si>
  <si>
    <t>Subsidy Request Amount</t>
  </si>
  <si>
    <t>2026 AHP General Fund - Rental Project Score Estimate</t>
  </si>
  <si>
    <t>Managers' Units</t>
  </si>
  <si>
    <t>Base Score (multiply row above by .50)</t>
  </si>
  <si>
    <t>Non-Income Restricted Units</t>
  </si>
  <si>
    <t>Project Information</t>
  </si>
  <si>
    <r>
      <t xml:space="preserve">Is this project serving homeless households? 
</t>
    </r>
    <r>
      <rPr>
        <b/>
        <sz val="9"/>
        <color theme="1"/>
        <rFont val="Calibri"/>
        <family val="2"/>
      </rPr>
      <t>Projects that receive points in Special Needs are not eligible to receive points in this category.</t>
    </r>
  </si>
  <si>
    <t>Will this project have empowerment services?</t>
  </si>
  <si>
    <t>Is this project eligible for native housing points?</t>
  </si>
  <si>
    <t>Nonprofit Developer Fee</t>
  </si>
  <si>
    <t># of Rural Units</t>
  </si>
  <si>
    <t>% of Rural Units</t>
  </si>
  <si>
    <t xml:space="preserve">Project location in rural areas </t>
  </si>
  <si>
    <t>Complete/Select from drop down menu</t>
  </si>
  <si>
    <t>Complete This Section</t>
  </si>
  <si>
    <t>Total Points</t>
  </si>
  <si>
    <r>
      <t xml:space="preserve">Is this project serving special needs households? </t>
    </r>
    <r>
      <rPr>
        <b/>
        <sz val="9"/>
        <rFont val="Calibri"/>
        <family val="2"/>
      </rPr>
      <t>Projects that receive points in Homeless Households are not eligible to receive points in this category.</t>
    </r>
  </si>
  <si>
    <t>Property acquired from a federal agency at any price</t>
  </si>
  <si>
    <t>Land is conveyed at no cost or for a nominal price of $1,000 or less</t>
  </si>
  <si>
    <t>Acquisition Price is &gt; 15% and &lt; or = 20% of FMV</t>
  </si>
  <si>
    <t>Acquisition Price is &gt; 10% and &lt; or = 15% of FMV</t>
  </si>
  <si>
    <t xml:space="preserve">Acquisition Price is &gt; 5% and &lt; = 10% of FMV </t>
  </si>
  <si>
    <t xml:space="preserve">Acquisition Price is &gt; $1,000 and &lt; or = 5% of FMV </t>
  </si>
  <si>
    <t>NA</t>
  </si>
  <si>
    <t>% Reserved for Homeless</t>
  </si>
  <si>
    <t>% Reserved for Special Needs</t>
  </si>
  <si>
    <t>Nonprofit Ownership Interest</t>
  </si>
  <si>
    <t>Community Stability (Max Points: 14)</t>
  </si>
  <si>
    <t>Donated Property (Max Points: 5)</t>
  </si>
  <si>
    <t>Empowerment Services (Max Points: 5)</t>
  </si>
  <si>
    <t>Homeless Households (Max Points: 6)</t>
  </si>
  <si>
    <t>In District (Max Points: 8)</t>
  </si>
  <si>
    <t>Project State: Arizona, California, Nevada</t>
  </si>
  <si>
    <t>Large Units (Max Points: 3)</t>
  </si>
  <si>
    <t>Project units have three bedrooms or more</t>
  </si>
  <si>
    <t># of Units 3 bdrms or more</t>
  </si>
  <si>
    <t>Native Housing (Max Points: 5)</t>
  </si>
  <si>
    <t>Nonprofit Sponsorship (Max Points: 7)</t>
  </si>
  <si>
    <t>Project Readiness (Max Points: 6)</t>
  </si>
  <si>
    <t>Rural (Max Points: 5)</t>
  </si>
  <si>
    <t>Subsidy Per Unit (Max Points: 4)</t>
  </si>
  <si>
    <t>Targeting (Max Points: 20)</t>
  </si>
  <si>
    <t>pts if % total units at 50% AMI or less &gt;20%</t>
  </si>
  <si>
    <r>
      <t xml:space="preserve">Subsidy per Unit 
</t>
    </r>
    <r>
      <rPr>
        <b/>
        <sz val="9"/>
        <rFont val="Calibri"/>
        <family val="2"/>
      </rPr>
      <t>Project is ineligible if subsidy per unit is greater than $65,000</t>
    </r>
  </si>
  <si>
    <t>Full Site Control</t>
  </si>
  <si>
    <t>1) Revitalizing Neighborhoods By Optimizing Project Site Use</t>
  </si>
  <si>
    <t>2) Community Revitalization or Economic Development Strategy</t>
  </si>
  <si>
    <t>Partial Site Control</t>
  </si>
  <si>
    <r>
      <t xml:space="preserve">Building permit issuance or permit ready letter 
</t>
    </r>
    <r>
      <rPr>
        <b/>
        <sz val="9"/>
        <color theme="1"/>
        <rFont val="Calibri"/>
        <family val="2"/>
      </rPr>
      <t>Project is not eligible for building permit points if units are under partial site control.</t>
    </r>
  </si>
  <si>
    <t>Units under full site control</t>
  </si>
  <si>
    <t xml:space="preserve">% </t>
  </si>
  <si>
    <t>Units under partial site control</t>
  </si>
  <si>
    <t>Adaptive Reuse</t>
  </si>
  <si>
    <t>Straight Donation ($1,000 or less)</t>
  </si>
  <si>
    <t>Federal Agency</t>
  </si>
  <si>
    <t>Significant Discount</t>
  </si>
  <si>
    <t>Federal Agency Score</t>
  </si>
  <si>
    <t>Significant Discount Score</t>
  </si>
  <si>
    <t>Straight Donation Score</t>
  </si>
  <si>
    <t>Special Needs (Max Points: 5)</t>
  </si>
  <si>
    <r>
      <rPr>
        <b/>
        <sz val="11"/>
        <color theme="1"/>
        <rFont val="Calibri"/>
        <family val="2"/>
      </rPr>
      <t>Note:</t>
    </r>
    <r>
      <rPr>
        <sz val="11"/>
        <color theme="1"/>
        <rFont val="Calibri"/>
        <family val="2"/>
      </rPr>
      <t xml:space="preserve"> Estimated scores are provided as reference only. The final application score is based on the AHP financial workbook, application form, and Bank staff review. This is a new tool, if you notice any areas that need adjustment, please let us know.</t>
    </r>
  </si>
  <si>
    <t>At or below 50%</t>
  </si>
  <si>
    <t>Subtract 20% from above</t>
  </si>
  <si>
    <t>WAAMIT Calc</t>
  </si>
  <si>
    <t xml:space="preserve">Units Targeted beween &gt;50% to &lt;=80% AMI </t>
  </si>
  <si>
    <t>Total Full and Partial Site Control Points</t>
  </si>
  <si>
    <t>Target AMI</t>
  </si>
  <si>
    <t>3) # of Amenities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</si>
</sst>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_(* #,##0.000000_);_(* \(#,##0.000000\);_(* &quot;-&quot;??_);_(@_)"/>
    <numFmt numFmtId="167" formatCode="_(* #,##0.000_);_(* \(#,##0.000\);_(* &quot;-&quot;??_);_(@_)"/>
    <numFmt numFmtId="168" formatCode="0.000"/>
  </numFmts>
  <fonts count="19" x14ac:knownFonts="1">
    <font>
      <sz val="11"/>
      <color theme="1"/>
      <name val="Aptos Narrow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rgb="FF0070C0"/>
      <name val="Calibri"/>
      <family val="2"/>
    </font>
    <font>
      <b/>
      <sz val="11"/>
      <color rgb="FF0070C0"/>
      <name val="Calibri"/>
      <family val="2"/>
    </font>
    <font>
      <b/>
      <sz val="11"/>
      <color theme="9"/>
      <name val="Calibri"/>
      <family val="2"/>
    </font>
    <font>
      <sz val="11"/>
      <color theme="9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sz val="11"/>
      <color theme="9" tint="-0.249977111117893"/>
      <name val="Calibri"/>
      <family val="2"/>
    </font>
    <font>
      <b/>
      <sz val="11"/>
      <name val="Calibri"/>
      <family val="2"/>
    </font>
    <font>
      <b/>
      <sz val="14"/>
      <color theme="0"/>
      <name val="Calibri"/>
      <family val="2"/>
    </font>
    <font>
      <b/>
      <sz val="9"/>
      <name val="Calibri"/>
      <family val="2"/>
    </font>
    <font>
      <b/>
      <sz val="9"/>
      <color theme="1"/>
      <name val="Calibri"/>
      <family val="2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47D99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111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wrapText="1"/>
    </xf>
    <xf numFmtId="0" fontId="3" fillId="0" borderId="0" xfId="0" applyFont="1"/>
    <xf numFmtId="0" fontId="0" fillId="0" borderId="0" xfId="0" applyBorder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Border="1"/>
    <xf numFmtId="0" fontId="6" fillId="0" borderId="0" xfId="0" applyFont="1" applyBorder="1"/>
    <xf numFmtId="0" fontId="5" fillId="0" borderId="0" xfId="0" applyFont="1" applyAlignment="1">
      <alignment wrapText="1"/>
    </xf>
    <xf numFmtId="0" fontId="5" fillId="0" borderId="0" xfId="0" applyFont="1" applyAlignment="1">
      <alignment horizontal="right"/>
    </xf>
    <xf numFmtId="0" fontId="6" fillId="0" borderId="0" xfId="0" applyFont="1"/>
    <xf numFmtId="9" fontId="5" fillId="0" borderId="0" xfId="1" applyFont="1" applyBorder="1"/>
    <xf numFmtId="0" fontId="1" fillId="0" borderId="0" xfId="0" applyFont="1" applyFill="1"/>
    <xf numFmtId="0" fontId="2" fillId="0" borderId="0" xfId="0" applyFont="1" applyFill="1"/>
    <xf numFmtId="0" fontId="6" fillId="0" borderId="0" xfId="0" applyFont="1" applyFill="1"/>
    <xf numFmtId="0" fontId="7" fillId="0" borderId="0" xfId="0" applyFont="1" applyFill="1" applyAlignment="1">
      <alignment horizontal="left"/>
    </xf>
    <xf numFmtId="0" fontId="7" fillId="0" borderId="0" xfId="0" applyFont="1" applyFill="1" applyBorder="1"/>
    <xf numFmtId="0" fontId="8" fillId="0" borderId="0" xfId="0" applyFont="1" applyFill="1" applyBorder="1"/>
    <xf numFmtId="0" fontId="7" fillId="0" borderId="0" xfId="0" applyFont="1" applyFill="1"/>
    <xf numFmtId="0" fontId="8" fillId="0" borderId="0" xfId="0" applyFont="1"/>
    <xf numFmtId="164" fontId="5" fillId="0" borderId="0" xfId="3" applyNumberFormat="1" applyFont="1"/>
    <xf numFmtId="0" fontId="7" fillId="0" borderId="0" xfId="0" applyFont="1"/>
    <xf numFmtId="0" fontId="10" fillId="0" borderId="0" xfId="0" applyFont="1" applyFill="1"/>
    <xf numFmtId="0" fontId="5" fillId="0" borderId="0" xfId="0" applyFont="1" applyFill="1"/>
    <xf numFmtId="0" fontId="7" fillId="0" borderId="0" xfId="0" applyFont="1" applyBorder="1"/>
    <xf numFmtId="166" fontId="7" fillId="0" borderId="0" xfId="2" applyNumberFormat="1" applyFont="1" applyBorder="1"/>
    <xf numFmtId="43" fontId="7" fillId="0" borderId="0" xfId="0" applyNumberFormat="1" applyFont="1" applyBorder="1"/>
    <xf numFmtId="0" fontId="7" fillId="0" borderId="0" xfId="0" applyFont="1" applyBorder="1" applyAlignment="1">
      <alignment horizontal="left"/>
    </xf>
    <xf numFmtId="43" fontId="7" fillId="0" borderId="0" xfId="0" applyNumberFormat="1" applyFont="1" applyFill="1" applyBorder="1"/>
    <xf numFmtId="0" fontId="8" fillId="0" borderId="0" xfId="0" applyFont="1" applyFill="1" applyBorder="1" applyAlignment="1">
      <alignment horizontal="left"/>
    </xf>
    <xf numFmtId="167" fontId="8" fillId="0" borderId="0" xfId="0" applyNumberFormat="1" applyFont="1" applyFill="1" applyBorder="1"/>
    <xf numFmtId="0" fontId="8" fillId="0" borderId="0" xfId="0" applyFont="1" applyFill="1" applyBorder="1" applyAlignment="1">
      <alignment horizontal="right"/>
    </xf>
    <xf numFmtId="0" fontId="11" fillId="0" borderId="0" xfId="0" applyFont="1" applyBorder="1"/>
    <xf numFmtId="0" fontId="10" fillId="0" borderId="0" xfId="0" applyFont="1" applyBorder="1"/>
    <xf numFmtId="0" fontId="7" fillId="0" borderId="0" xfId="0" applyFont="1" applyAlignment="1">
      <alignment horizontal="left" wrapText="1"/>
    </xf>
    <xf numFmtId="0" fontId="7" fillId="0" borderId="0" xfId="0" applyFont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165" fontId="7" fillId="0" borderId="0" xfId="2" applyNumberFormat="1" applyFont="1" applyBorder="1"/>
    <xf numFmtId="10" fontId="7" fillId="0" borderId="0" xfId="1" applyNumberFormat="1" applyFont="1" applyBorder="1"/>
    <xf numFmtId="2" fontId="7" fillId="0" borderId="0" xfId="0" applyNumberFormat="1" applyFont="1" applyBorder="1"/>
    <xf numFmtId="43" fontId="7" fillId="0" borderId="0" xfId="2" applyNumberFormat="1" applyFont="1" applyBorder="1"/>
    <xf numFmtId="0" fontId="8" fillId="0" borderId="0" xfId="0" applyFont="1" applyBorder="1"/>
    <xf numFmtId="2" fontId="8" fillId="0" borderId="0" xfId="0" applyNumberFormat="1" applyFont="1" applyBorder="1"/>
    <xf numFmtId="0" fontId="9" fillId="0" borderId="0" xfId="0" applyFont="1" applyFill="1"/>
    <xf numFmtId="0" fontId="11" fillId="0" borderId="0" xfId="0" applyFont="1" applyFill="1"/>
    <xf numFmtId="0" fontId="5" fillId="3" borderId="0" xfId="0" applyFont="1" applyFill="1"/>
    <xf numFmtId="0" fontId="6" fillId="3" borderId="0" xfId="0" applyFont="1" applyFill="1" applyAlignment="1">
      <alignment horizontal="left" vertical="center"/>
    </xf>
    <xf numFmtId="0" fontId="6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wrapText="1"/>
    </xf>
    <xf numFmtId="0" fontId="11" fillId="0" borderId="0" xfId="0" applyFont="1" applyFill="1" applyBorder="1"/>
    <xf numFmtId="0" fontId="13" fillId="0" borderId="0" xfId="0" applyFont="1"/>
    <xf numFmtId="0" fontId="13" fillId="0" borderId="0" xfId="0" applyFont="1" applyFill="1"/>
    <xf numFmtId="0" fontId="13" fillId="4" borderId="0" xfId="0" applyFont="1" applyFill="1"/>
    <xf numFmtId="0" fontId="11" fillId="0" borderId="0" xfId="0" applyFont="1"/>
    <xf numFmtId="0" fontId="5" fillId="0" borderId="0" xfId="0" applyFont="1" applyFill="1" applyAlignment="1">
      <alignment wrapText="1"/>
    </xf>
    <xf numFmtId="0" fontId="8" fillId="0" borderId="0" xfId="0" applyFont="1" applyFill="1"/>
    <xf numFmtId="9" fontId="7" fillId="0" borderId="0" xfId="0" applyNumberFormat="1" applyFont="1" applyBorder="1"/>
    <xf numFmtId="0" fontId="5" fillId="0" borderId="0" xfId="0" applyFont="1" applyFill="1" applyBorder="1"/>
    <xf numFmtId="0" fontId="5" fillId="0" borderId="0" xfId="0" applyFont="1" applyAlignment="1">
      <alignment horizontal="center"/>
    </xf>
    <xf numFmtId="0" fontId="6" fillId="0" borderId="0" xfId="0" applyFont="1" applyFill="1" applyAlignment="1">
      <alignment horizontal="left"/>
    </xf>
    <xf numFmtId="0" fontId="12" fillId="0" borderId="0" xfId="0" applyFont="1" applyFill="1" applyBorder="1"/>
    <xf numFmtId="0" fontId="14" fillId="0" borderId="0" xfId="0" applyFont="1" applyFill="1" applyBorder="1"/>
    <xf numFmtId="0" fontId="1" fillId="0" borderId="0" xfId="0" applyFont="1" applyFill="1" applyAlignment="1">
      <alignment wrapText="1"/>
    </xf>
    <xf numFmtId="0" fontId="6" fillId="0" borderId="0" xfId="0" applyFont="1" applyFill="1" applyAlignment="1">
      <alignment horizontal="right"/>
    </xf>
    <xf numFmtId="0" fontId="1" fillId="0" borderId="0" xfId="0" applyFont="1" applyFill="1" applyAlignment="1">
      <alignment horizontal="left"/>
    </xf>
    <xf numFmtId="10" fontId="1" fillId="0" borderId="0" xfId="1" applyNumberFormat="1" applyFont="1" applyFill="1"/>
    <xf numFmtId="0" fontId="5" fillId="0" borderId="0" xfId="0" applyFont="1" applyFill="1" applyAlignment="1">
      <alignment horizontal="left"/>
    </xf>
    <xf numFmtId="0" fontId="5" fillId="0" borderId="0" xfId="0" applyFont="1" applyFill="1" applyAlignment="1">
      <alignment horizontal="left" wrapText="1"/>
    </xf>
    <xf numFmtId="43" fontId="12" fillId="0" borderId="0" xfId="2" applyFont="1" applyFill="1" applyBorder="1"/>
    <xf numFmtId="0" fontId="6" fillId="0" borderId="0" xfId="0" applyFont="1" applyFill="1" applyBorder="1" applyAlignment="1">
      <alignment horizontal="right"/>
    </xf>
    <xf numFmtId="9" fontId="5" fillId="0" borderId="0" xfId="1" applyFont="1" applyFill="1" applyBorder="1" applyAlignment="1">
      <alignment horizontal="right"/>
    </xf>
    <xf numFmtId="9" fontId="5" fillId="0" borderId="0" xfId="0" applyNumberFormat="1" applyFont="1" applyFill="1" applyBorder="1" applyAlignment="1">
      <alignment horizontal="right" wrapText="1"/>
    </xf>
    <xf numFmtId="0" fontId="6" fillId="0" borderId="0" xfId="0" applyFont="1" applyFill="1" applyBorder="1" applyAlignment="1">
      <alignment horizontal="right" vertical="center"/>
    </xf>
    <xf numFmtId="168" fontId="6" fillId="0" borderId="0" xfId="0" applyNumberFormat="1" applyFont="1" applyFill="1"/>
    <xf numFmtId="0" fontId="12" fillId="0" borderId="0" xfId="0" applyFont="1" applyFill="1" applyAlignment="1">
      <alignment horizontal="left" wrapText="1"/>
    </xf>
    <xf numFmtId="0" fontId="0" fillId="0" borderId="0" xfId="0" applyFont="1"/>
    <xf numFmtId="0" fontId="8" fillId="0" borderId="0" xfId="0" applyFont="1" applyAlignment="1">
      <alignment horizontal="right"/>
    </xf>
    <xf numFmtId="0" fontId="8" fillId="0" borderId="0" xfId="0" applyFont="1" applyFill="1" applyAlignment="1">
      <alignment horizontal="right"/>
    </xf>
    <xf numFmtId="10" fontId="5" fillId="0" borderId="0" xfId="1" applyNumberFormat="1" applyFont="1" applyFill="1"/>
    <xf numFmtId="0" fontId="12" fillId="0" borderId="0" xfId="0" applyFont="1" applyFill="1" applyBorder="1" applyAlignment="1">
      <alignment horizontal="right" wrapText="1"/>
    </xf>
    <xf numFmtId="0" fontId="5" fillId="0" borderId="0" xfId="0" applyFont="1" applyFill="1" applyAlignment="1">
      <alignment horizontal="right" wrapText="1"/>
    </xf>
    <xf numFmtId="0" fontId="1" fillId="0" borderId="0" xfId="0" applyFont="1" applyFill="1" applyAlignment="1">
      <alignment horizontal="right"/>
    </xf>
    <xf numFmtId="0" fontId="7" fillId="0" borderId="0" xfId="0" applyFont="1" applyFill="1" applyAlignment="1">
      <alignment horizontal="right"/>
    </xf>
    <xf numFmtId="0" fontId="7" fillId="0" borderId="0" xfId="0" applyFont="1" applyAlignment="1">
      <alignment horizontal="right"/>
    </xf>
    <xf numFmtId="0" fontId="5" fillId="0" borderId="0" xfId="0" applyFont="1" applyFill="1" applyAlignment="1">
      <alignment horizontal="right" vertical="center"/>
    </xf>
    <xf numFmtId="0" fontId="2" fillId="3" borderId="0" xfId="0" applyFont="1" applyFill="1" applyAlignment="1">
      <alignment vertical="center" wrapText="1"/>
    </xf>
    <xf numFmtId="0" fontId="2" fillId="3" borderId="0" xfId="0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5" fillId="2" borderId="0" xfId="0" applyFont="1" applyFill="1" applyProtection="1">
      <protection locked="0"/>
    </xf>
    <xf numFmtId="0" fontId="5" fillId="2" borderId="0" xfId="0" applyFont="1" applyFill="1" applyAlignment="1" applyProtection="1">
      <alignment wrapText="1"/>
      <protection locked="0"/>
    </xf>
    <xf numFmtId="0" fontId="1" fillId="2" borderId="0" xfId="0" applyFont="1" applyFill="1" applyProtection="1">
      <protection locked="0"/>
    </xf>
    <xf numFmtId="0" fontId="5" fillId="2" borderId="0" xfId="0" applyFont="1" applyFill="1" applyBorder="1" applyProtection="1">
      <protection locked="0"/>
    </xf>
    <xf numFmtId="2" fontId="7" fillId="0" borderId="0" xfId="1" applyNumberFormat="1" applyFont="1" applyBorder="1"/>
    <xf numFmtId="10" fontId="7" fillId="0" borderId="0" xfId="1" applyNumberFormat="1" applyFont="1" applyFill="1" applyBorder="1"/>
    <xf numFmtId="2" fontId="7" fillId="0" borderId="0" xfId="1" applyNumberFormat="1" applyFont="1" applyFill="1" applyBorder="1"/>
    <xf numFmtId="2" fontId="8" fillId="0" borderId="0" xfId="0" applyNumberFormat="1" applyFont="1" applyFill="1" applyBorder="1"/>
    <xf numFmtId="0" fontId="14" fillId="0" borderId="0" xfId="0" applyFont="1"/>
    <xf numFmtId="2" fontId="12" fillId="0" borderId="0" xfId="0" applyNumberFormat="1" applyFont="1" applyFill="1" applyBorder="1"/>
    <xf numFmtId="2" fontId="14" fillId="0" borderId="0" xfId="0" applyNumberFormat="1" applyFont="1" applyFill="1" applyBorder="1"/>
    <xf numFmtId="2" fontId="6" fillId="0" borderId="0" xfId="0" applyNumberFormat="1" applyFont="1" applyFill="1"/>
    <xf numFmtId="9" fontId="5" fillId="2" borderId="0" xfId="1" applyFont="1" applyFill="1" applyBorder="1" applyAlignment="1" applyProtection="1">
      <alignment horizontal="right"/>
      <protection locked="0"/>
    </xf>
    <xf numFmtId="0" fontId="5" fillId="0" borderId="0" xfId="0" applyFont="1" applyAlignment="1">
      <alignment horizontal="left" wrapText="1"/>
    </xf>
    <xf numFmtId="0" fontId="6" fillId="2" borderId="0" xfId="0" applyFont="1" applyFill="1" applyAlignment="1" applyProtection="1">
      <alignment horizontal="right"/>
      <protection locked="0"/>
    </xf>
    <xf numFmtId="164" fontId="6" fillId="2" borderId="0" xfId="3" applyNumberFormat="1" applyFont="1" applyFill="1" applyAlignment="1" applyProtection="1">
      <alignment horizontal="right"/>
      <protection locked="0"/>
    </xf>
    <xf numFmtId="0" fontId="15" fillId="5" borderId="0" xfId="0" applyFont="1" applyFill="1" applyAlignment="1">
      <alignment horizontal="left" vertical="center"/>
    </xf>
    <xf numFmtId="0" fontId="6" fillId="2" borderId="0" xfId="0" applyFont="1" applyFill="1" applyAlignment="1" applyProtection="1">
      <alignment horizontal="right" wrapText="1"/>
      <protection locked="0"/>
    </xf>
    <xf numFmtId="0" fontId="6" fillId="3" borderId="0" xfId="0" applyFont="1" applyFill="1" applyAlignment="1">
      <alignment horizontal="center" vertical="center"/>
    </xf>
  </cellXfs>
  <cellStyles count="4">
    <cellStyle name="Comma" xfId="2" builtinId="3"/>
    <cellStyle name="Currency" xfId="3" builtinId="4"/>
    <cellStyle name="Normal" xfId="0" builtinId="0"/>
    <cellStyle name="Percent" xfId="1" builtinId="5"/>
  </cellStyles>
  <dxfs count="4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447D99"/>
      <color rgb="FF556475"/>
      <color rgb="FFFFFFCC"/>
      <color rgb="FF8FC975"/>
      <color rgb="FF00369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28576</xdr:colOff>
      <xdr:row>0</xdr:row>
      <xdr:rowOff>47627</xdr:rowOff>
    </xdr:from>
    <xdr:to>
      <xdr:col>1</xdr:col>
      <xdr:colOff>1170411</xdr:colOff>
      <xdr:row>0</xdr:row>
      <xdr:rowOff>533401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C5C2512-AF59-858D-A16D-30A7D251E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226" y="47627"/>
          <a:ext cx="1141835" cy="4857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142875</xdr:rowOff>
    </xdr:from>
    <xdr:to>
      <xdr:col>11</xdr:col>
      <xdr:colOff>524852</xdr:colOff>
      <xdr:row>48</xdr:row>
      <xdr:rowOff>182257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559DC7-95FA-F115-A452-F5DE826C1D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0" y="142875"/>
          <a:ext cx="7001852" cy="91833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1339B5-0BFF-4DAC-8FD2-11FEBDA707FB}">
  <dimension ref="A1:U133"/>
  <sheetViews>
    <sheetView tabSelected="1" workbookViewId="0">
      <selection activeCell="B1" sqref="B1"/>
    </sheetView>
  </sheetViews>
  <sheetFormatPr defaultColWidth="8.7265625" defaultRowHeight="14.5" x14ac:dyDescent="0.35"/>
  <cols>
    <col min="1" max="1" width="3.7265625" style="8" customWidth="1"/>
    <col min="2" max="2" width="49" style="8" customWidth="1"/>
    <col min="3" max="3" width="23.453125" style="8" customWidth="1"/>
    <col min="4" max="4" width="18" style="8" customWidth="1"/>
    <col min="5" max="5" width="0" style="8" hidden="1" customWidth="1"/>
    <col min="6" max="6" width="8.7265625" style="8"/>
    <col min="7" max="7" width="9.81640625" style="8" bestFit="1" customWidth="1"/>
    <col min="8" max="16384" width="8.7265625" style="8"/>
  </cols>
  <sheetData>
    <row r="1" spans="2:10" ht="46.5" customHeight="1" x14ac:dyDescent="0.35">
      <c r="B1" s="62"/>
      <c r="C1"/>
      <c r="F1" s="54"/>
    </row>
    <row r="2" spans="2:10" ht="18.5" x14ac:dyDescent="0.35">
      <c r="B2" s="108" t="s">
        <v>105</v>
      </c>
      <c r="C2" s="108"/>
      <c r="D2" s="108"/>
      <c r="F2" s="21"/>
    </row>
    <row r="3" spans="2:10" x14ac:dyDescent="0.35">
      <c r="B3" s="13"/>
      <c r="F3" s="24"/>
    </row>
    <row r="4" spans="2:10" x14ac:dyDescent="0.35">
      <c r="B4" s="49" t="s">
        <v>109</v>
      </c>
      <c r="C4" s="110" t="s">
        <v>118</v>
      </c>
      <c r="D4" s="110"/>
      <c r="F4" s="24"/>
    </row>
    <row r="5" spans="2:10" x14ac:dyDescent="0.35">
      <c r="B5" s="63" t="s">
        <v>86</v>
      </c>
      <c r="C5" s="109"/>
      <c r="D5" s="109"/>
      <c r="F5" s="26"/>
    </row>
    <row r="6" spans="2:10" x14ac:dyDescent="0.35">
      <c r="B6" s="63" t="s">
        <v>89</v>
      </c>
      <c r="C6" s="106"/>
      <c r="D6" s="106"/>
    </row>
    <row r="7" spans="2:10" x14ac:dyDescent="0.35">
      <c r="B7" s="63" t="s">
        <v>88</v>
      </c>
      <c r="C7" s="106"/>
      <c r="D7" s="106"/>
    </row>
    <row r="8" spans="2:10" x14ac:dyDescent="0.35">
      <c r="B8" s="63" t="s">
        <v>87</v>
      </c>
      <c r="C8" s="106"/>
      <c r="D8" s="106"/>
      <c r="E8" s="55"/>
      <c r="J8" s="57"/>
    </row>
    <row r="9" spans="2:10" x14ac:dyDescent="0.35">
      <c r="B9" s="63" t="s">
        <v>106</v>
      </c>
      <c r="C9" s="106"/>
      <c r="D9" s="106"/>
      <c r="E9" s="55"/>
    </row>
    <row r="10" spans="2:10" x14ac:dyDescent="0.35">
      <c r="B10" s="63" t="s">
        <v>104</v>
      </c>
      <c r="C10" s="107"/>
      <c r="D10" s="107"/>
    </row>
    <row r="11" spans="2:10" x14ac:dyDescent="0.35">
      <c r="B11" s="12"/>
    </row>
    <row r="12" spans="2:10" x14ac:dyDescent="0.35">
      <c r="B12" s="49" t="s">
        <v>0</v>
      </c>
      <c r="C12" s="50" t="s">
        <v>1</v>
      </c>
      <c r="D12" s="51" t="s">
        <v>2</v>
      </c>
      <c r="E12" s="46"/>
      <c r="F12" s="25"/>
      <c r="G12" s="25"/>
      <c r="H12" s="25"/>
      <c r="I12" s="25"/>
      <c r="J12" s="47"/>
    </row>
    <row r="13" spans="2:10" s="9" customFormat="1" x14ac:dyDescent="0.35">
      <c r="B13" s="64" t="s">
        <v>3</v>
      </c>
      <c r="C13" s="64">
        <v>14</v>
      </c>
      <c r="D13" s="101" cm="1">
        <f t="array" ref="D13">SUMPRODUCT(--D29:D35)</f>
        <v>0</v>
      </c>
      <c r="E13" s="36"/>
      <c r="J13" s="35"/>
    </row>
    <row r="14" spans="2:10" s="9" customFormat="1" x14ac:dyDescent="0.35">
      <c r="B14" s="64" t="s">
        <v>4</v>
      </c>
      <c r="C14" s="64">
        <v>5</v>
      </c>
      <c r="D14" s="101">
        <f>MIN(SUM(D38,D41,D44),5)</f>
        <v>0</v>
      </c>
      <c r="E14" s="36"/>
      <c r="F14" s="36"/>
      <c r="G14" s="36"/>
    </row>
    <row r="15" spans="2:10" s="9" customFormat="1" x14ac:dyDescent="0.35">
      <c r="B15" s="64" t="s">
        <v>5</v>
      </c>
      <c r="C15" s="64">
        <v>5</v>
      </c>
      <c r="D15" s="101">
        <f>D52</f>
        <v>0</v>
      </c>
    </row>
    <row r="16" spans="2:10" s="9" customFormat="1" x14ac:dyDescent="0.35">
      <c r="B16" s="64" t="s">
        <v>6</v>
      </c>
      <c r="C16" s="64">
        <v>6</v>
      </c>
      <c r="D16" s="101">
        <f>IFERROR(D55,0)</f>
        <v>0</v>
      </c>
    </row>
    <row r="17" spans="2:5" s="9" customFormat="1" x14ac:dyDescent="0.35">
      <c r="B17" s="64" t="s">
        <v>13</v>
      </c>
      <c r="C17" s="64">
        <v>5</v>
      </c>
      <c r="D17" s="101">
        <f>IFERROR(D64,0)</f>
        <v>0</v>
      </c>
    </row>
    <row r="18" spans="2:5" s="9" customFormat="1" x14ac:dyDescent="0.35">
      <c r="B18" s="64" t="s">
        <v>7</v>
      </c>
      <c r="C18" s="64">
        <v>8</v>
      </c>
      <c r="D18" s="101">
        <f>D70</f>
        <v>0</v>
      </c>
    </row>
    <row r="19" spans="2:5" s="9" customFormat="1" x14ac:dyDescent="0.35">
      <c r="B19" s="64" t="s">
        <v>8</v>
      </c>
      <c r="C19" s="64">
        <v>3</v>
      </c>
      <c r="D19" s="101">
        <f>D73</f>
        <v>0</v>
      </c>
    </row>
    <row r="20" spans="2:5" s="9" customFormat="1" x14ac:dyDescent="0.35">
      <c r="B20" s="64" t="s">
        <v>9</v>
      </c>
      <c r="C20" s="64">
        <v>5</v>
      </c>
      <c r="D20" s="101">
        <f>D78</f>
        <v>0</v>
      </c>
    </row>
    <row r="21" spans="2:5" s="9" customFormat="1" x14ac:dyDescent="0.35">
      <c r="B21" s="64" t="s">
        <v>10</v>
      </c>
      <c r="C21" s="64">
        <v>7</v>
      </c>
      <c r="D21" s="101">
        <f>SUM(D81,D82)</f>
        <v>0</v>
      </c>
    </row>
    <row r="22" spans="2:5" s="9" customFormat="1" x14ac:dyDescent="0.35">
      <c r="B22" s="64" t="s">
        <v>11</v>
      </c>
      <c r="C22" s="64">
        <v>6</v>
      </c>
      <c r="D22" s="101">
        <f>MIN(SUM(D93,D94),6)</f>
        <v>0</v>
      </c>
    </row>
    <row r="23" spans="2:5" s="9" customFormat="1" x14ac:dyDescent="0.35">
      <c r="B23" s="64" t="s">
        <v>12</v>
      </c>
      <c r="C23" s="64">
        <v>5</v>
      </c>
      <c r="D23" s="101">
        <f>IFERROR(D97,0)</f>
        <v>0</v>
      </c>
    </row>
    <row r="24" spans="2:5" s="9" customFormat="1" x14ac:dyDescent="0.35">
      <c r="B24" s="64" t="s">
        <v>14</v>
      </c>
      <c r="C24" s="64">
        <v>4</v>
      </c>
      <c r="D24" s="101">
        <f>IFERROR(D103,0)</f>
        <v>0</v>
      </c>
    </row>
    <row r="25" spans="2:5" s="9" customFormat="1" x14ac:dyDescent="0.35">
      <c r="B25" s="64" t="s">
        <v>15</v>
      </c>
      <c r="C25" s="64">
        <v>20</v>
      </c>
      <c r="D25" s="101">
        <f>IFERROR(D110,0)</f>
        <v>0</v>
      </c>
    </row>
    <row r="26" spans="2:5" s="9" customFormat="1" x14ac:dyDescent="0.35">
      <c r="B26" s="65" t="s">
        <v>119</v>
      </c>
      <c r="C26" s="65">
        <f>SUM(C13:C25)</f>
        <v>93</v>
      </c>
      <c r="D26" s="102">
        <f>SUM(D13:D25)</f>
        <v>0</v>
      </c>
      <c r="E26" s="35"/>
    </row>
    <row r="27" spans="2:5" s="9" customFormat="1" x14ac:dyDescent="0.35"/>
    <row r="28" spans="2:5" ht="29" x14ac:dyDescent="0.35">
      <c r="B28" s="49" t="s">
        <v>131</v>
      </c>
      <c r="C28" s="51" t="s">
        <v>28</v>
      </c>
      <c r="D28" s="51" t="s">
        <v>2</v>
      </c>
    </row>
    <row r="29" spans="2:5" ht="29" x14ac:dyDescent="0.35">
      <c r="B29" s="66" t="s">
        <v>149</v>
      </c>
      <c r="C29" s="92"/>
      <c r="D29" s="17">
        <f>IF(OR(C29="none", C29=""), 0, 3)</f>
        <v>0</v>
      </c>
    </row>
    <row r="30" spans="2:5" ht="29" x14ac:dyDescent="0.35">
      <c r="B30" s="66" t="s">
        <v>150</v>
      </c>
      <c r="C30" s="92"/>
      <c r="D30" s="17">
        <f>IF(C30="applicable", 2, 0)</f>
        <v>0</v>
      </c>
    </row>
    <row r="31" spans="2:5" x14ac:dyDescent="0.35">
      <c r="B31" s="66" t="s">
        <v>25</v>
      </c>
      <c r="C31" s="92"/>
      <c r="D31" s="67" t="str" cm="1">
        <f t="array" ref="D31">_xlfn.IFS(C31=1,"0.5", C31=2,"1", C31=3,"1.5",C31=4,"2", C31=0,"0")</f>
        <v>0</v>
      </c>
    </row>
    <row r="32" spans="2:5" x14ac:dyDescent="0.35">
      <c r="B32" s="66" t="s">
        <v>171</v>
      </c>
      <c r="C32" s="92"/>
      <c r="D32" s="67" t="str" cm="1">
        <f t="array" ref="D32">_xlfn.IFS(C32=1,"0.5", C32=2,"1", C32=3,"1.5",C32=4,"2", C32=0,"0")</f>
        <v>0</v>
      </c>
    </row>
    <row r="33" spans="2:17" x14ac:dyDescent="0.35">
      <c r="B33" s="66" t="s">
        <v>26</v>
      </c>
      <c r="C33" s="93"/>
      <c r="D33" s="67" t="str" cm="1">
        <f t="array" ref="D33">_xlfn.IFS(C33="", "0", C33=Sheet2!D3, "1", C33=Sheet2!D4, "1", C33=Sheet2!D5, "1", C33=Sheet2!D6, "1", C33=Sheet2!D7, "1", C33=Sheet2!D8, "2", C33=Sheet2!D9, "2", C33=Sheet2!D10, "2", C33=Sheet2!D11, "2", C33=Sheet2!D12, "2", C33=Sheet2!D13, "2", C33=Sheet2!D14, "3", C33=Sheet2!D15, "3", C33=Sheet2!D16, "3", C33=Sheet2!D17, "3", C33=Sheet2!D18, "3", C33=Sheet2!D19, "3", C33=Sheet2!D20, "3", C33=Sheet2!D21, "0")</f>
        <v>0</v>
      </c>
    </row>
    <row r="34" spans="2:17" ht="29" x14ac:dyDescent="0.35">
      <c r="B34" s="66" t="s">
        <v>48</v>
      </c>
      <c r="C34" s="92"/>
      <c r="D34" s="17">
        <f>IF(C34="yes", 1, 0)</f>
        <v>0</v>
      </c>
    </row>
    <row r="35" spans="2:17" x14ac:dyDescent="0.35">
      <c r="B35" s="66" t="s">
        <v>18</v>
      </c>
      <c r="C35" s="93"/>
      <c r="D35" s="17">
        <f>IF(OR(C35="displacement with no mitigation", C35=""), 0, 1)</f>
        <v>0</v>
      </c>
      <c r="E35" s="24"/>
    </row>
    <row r="36" spans="2:17" x14ac:dyDescent="0.35">
      <c r="D36" s="13"/>
    </row>
    <row r="37" spans="2:17" ht="29" x14ac:dyDescent="0.35">
      <c r="B37" s="49" t="s">
        <v>132</v>
      </c>
      <c r="C37" s="51" t="s">
        <v>117</v>
      </c>
      <c r="D37" s="51" t="s">
        <v>2</v>
      </c>
    </row>
    <row r="38" spans="2:17" x14ac:dyDescent="0.35">
      <c r="B38" s="8" t="s">
        <v>157</v>
      </c>
      <c r="C38" s="93"/>
      <c r="D38" s="17">
        <f>IFERROR(IF(C40&gt;=20%,C47*C40,0),0)</f>
        <v>0</v>
      </c>
      <c r="F38" s="25"/>
      <c r="M38" s="54"/>
      <c r="Q38" s="57"/>
    </row>
    <row r="39" spans="2:17" x14ac:dyDescent="0.35">
      <c r="B39" s="88" t="s">
        <v>100</v>
      </c>
      <c r="C39" s="93"/>
      <c r="D39" s="17"/>
      <c r="F39" s="25"/>
      <c r="M39" s="54"/>
    </row>
    <row r="40" spans="2:17" x14ac:dyDescent="0.35">
      <c r="B40" s="85" t="s">
        <v>154</v>
      </c>
      <c r="C40" s="82">
        <f>IFERROR(C39/C6,0)</f>
        <v>0</v>
      </c>
      <c r="D40" s="13"/>
    </row>
    <row r="41" spans="2:17" x14ac:dyDescent="0.35">
      <c r="B41" s="8" t="s">
        <v>158</v>
      </c>
      <c r="C41" s="93"/>
      <c r="D41" s="17">
        <f>IFERROR(IF(C43&gt;=20%,C48*C43,0),0)</f>
        <v>0</v>
      </c>
      <c r="F41" s="25"/>
      <c r="M41" s="54"/>
      <c r="Q41" s="57"/>
    </row>
    <row r="42" spans="2:17" x14ac:dyDescent="0.35">
      <c r="B42" s="88" t="s">
        <v>100</v>
      </c>
      <c r="C42" s="93"/>
      <c r="D42" s="17"/>
      <c r="F42" s="25"/>
      <c r="M42" s="54"/>
    </row>
    <row r="43" spans="2:17" x14ac:dyDescent="0.35">
      <c r="B43" s="85" t="s">
        <v>154</v>
      </c>
      <c r="C43" s="82">
        <f>IFERROR(C42/C6,0)</f>
        <v>0</v>
      </c>
      <c r="D43" s="13"/>
    </row>
    <row r="44" spans="2:17" x14ac:dyDescent="0.35">
      <c r="B44" s="8" t="s">
        <v>159</v>
      </c>
      <c r="C44" s="93"/>
      <c r="D44" s="17">
        <f>IFERROR(IF(C46&gt;=20%,C49*C46,0),0)</f>
        <v>0</v>
      </c>
      <c r="F44" s="25"/>
      <c r="M44" s="54"/>
      <c r="Q44" s="57"/>
    </row>
    <row r="45" spans="2:17" x14ac:dyDescent="0.35">
      <c r="B45" s="88" t="s">
        <v>100</v>
      </c>
      <c r="C45" s="93"/>
      <c r="D45" s="17"/>
      <c r="F45" s="25"/>
      <c r="M45" s="54"/>
    </row>
    <row r="46" spans="2:17" x14ac:dyDescent="0.35">
      <c r="B46" s="85" t="s">
        <v>154</v>
      </c>
      <c r="C46" s="82">
        <f>IFERROR(C45/C6,0)</f>
        <v>0</v>
      </c>
      <c r="D46" s="13"/>
    </row>
    <row r="47" spans="2:17" hidden="1" x14ac:dyDescent="0.35">
      <c r="B47" s="86" t="s">
        <v>162</v>
      </c>
      <c r="C47" s="59" cm="1">
        <f t="array" ref="C47">_xlfn.IFS(C38="", 0, C38="NA", 0, C38=Sheet2!A40, 5)</f>
        <v>0</v>
      </c>
      <c r="D47" s="13"/>
    </row>
    <row r="48" spans="2:17" hidden="1" x14ac:dyDescent="0.35">
      <c r="B48" s="86" t="s">
        <v>160</v>
      </c>
      <c r="C48" s="59" cm="1">
        <f t="array" ref="C48">_xlfn.IFS(C41="", 0, C41="NA", 0, C41=Sheet2!A43, 1)</f>
        <v>0</v>
      </c>
      <c r="D48" s="13"/>
    </row>
    <row r="49" spans="2:21" hidden="1" x14ac:dyDescent="0.35">
      <c r="B49" s="87" t="s">
        <v>161</v>
      </c>
      <c r="C49" s="59" cm="1">
        <f t="array" ref="C49">_xlfn.IFS(C44="",0,C44="NA",0,C44=Sheet2!A46,1,C44=Sheet2!A47,2,C44=Sheet2!A48,3,C44=Sheet2!A49,4)</f>
        <v>0</v>
      </c>
      <c r="D49" s="13"/>
      <c r="F49" s="24"/>
    </row>
    <row r="50" spans="2:21" x14ac:dyDescent="0.35">
      <c r="B50" s="1"/>
      <c r="D50" s="13"/>
    </row>
    <row r="51" spans="2:21" ht="29" x14ac:dyDescent="0.35">
      <c r="B51" s="49" t="s">
        <v>133</v>
      </c>
      <c r="C51" s="51" t="s">
        <v>28</v>
      </c>
      <c r="D51" s="51" t="s">
        <v>2</v>
      </c>
    </row>
    <row r="52" spans="2:21" x14ac:dyDescent="0.35">
      <c r="B52" s="26" t="s">
        <v>111</v>
      </c>
      <c r="C52" s="92"/>
      <c r="D52" s="17">
        <f t="shared" ref="D52" si="0">IF(C52="yes", 5, 0)</f>
        <v>0</v>
      </c>
    </row>
    <row r="53" spans="2:21" x14ac:dyDescent="0.35">
      <c r="B53" s="1"/>
      <c r="D53" s="17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</row>
    <row r="54" spans="2:21" ht="29" x14ac:dyDescent="0.35">
      <c r="B54" s="90" t="s">
        <v>134</v>
      </c>
      <c r="C54" s="51" t="s">
        <v>117</v>
      </c>
      <c r="D54" s="51" t="s">
        <v>2</v>
      </c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</row>
    <row r="55" spans="2:21" ht="39" x14ac:dyDescent="0.35">
      <c r="B55" s="58" t="s">
        <v>110</v>
      </c>
      <c r="C55" s="92"/>
      <c r="D55" s="17">
        <f>IFERROR(IF(AND(C55="yes", C57&gt;=20%), C61, 0),0)</f>
        <v>0</v>
      </c>
      <c r="F55" s="55"/>
      <c r="G55" s="55"/>
      <c r="H55" s="55"/>
      <c r="I55" s="55"/>
      <c r="J55" s="55"/>
      <c r="K55" s="54"/>
      <c r="L55" s="54"/>
      <c r="M55" s="54"/>
      <c r="N55" s="54"/>
      <c r="O55" s="54"/>
      <c r="P55" s="54"/>
      <c r="Q55" s="57"/>
    </row>
    <row r="56" spans="2:21" x14ac:dyDescent="0.35">
      <c r="B56" s="68" t="s">
        <v>51</v>
      </c>
      <c r="C56" s="92"/>
      <c r="D56" s="17"/>
      <c r="F56" s="55"/>
      <c r="G56" s="55"/>
      <c r="H56" s="55"/>
      <c r="I56" s="55"/>
      <c r="J56" s="55"/>
      <c r="K56" s="54"/>
      <c r="L56" s="54"/>
      <c r="M56" s="54"/>
      <c r="N56" s="54"/>
      <c r="O56" s="54"/>
      <c r="P56" s="54"/>
    </row>
    <row r="57" spans="2:21" x14ac:dyDescent="0.35">
      <c r="B57" s="68" t="s">
        <v>128</v>
      </c>
      <c r="C57" s="82">
        <f>IFERROR(C56/(C6-C9),0)</f>
        <v>0</v>
      </c>
      <c r="D57" s="17"/>
      <c r="F57" s="55"/>
      <c r="G57" s="54"/>
      <c r="H57" s="54"/>
      <c r="I57" s="54"/>
      <c r="J57" s="54"/>
      <c r="K57" s="54"/>
      <c r="L57" s="54"/>
      <c r="M57" s="54"/>
      <c r="N57" s="54"/>
      <c r="O57" s="54"/>
      <c r="P57" s="54"/>
      <c r="U57" s="57"/>
    </row>
    <row r="58" spans="2:21" hidden="1" x14ac:dyDescent="0.35">
      <c r="B58" s="18" t="s">
        <v>52</v>
      </c>
      <c r="C58" s="19">
        <f>C56-((C6-C9)*Sheet2!B27)</f>
        <v>0</v>
      </c>
      <c r="D58" s="17"/>
      <c r="E58" s="26"/>
      <c r="F58" s="21"/>
    </row>
    <row r="59" spans="2:21" hidden="1" x14ac:dyDescent="0.35">
      <c r="B59" s="18" t="s">
        <v>53</v>
      </c>
      <c r="C59" s="19">
        <f>IFERROR(C58/((C6-C9)*Sheet2!B28),0)</f>
        <v>0</v>
      </c>
      <c r="D59" s="17"/>
      <c r="E59" s="26"/>
      <c r="F59" s="26"/>
    </row>
    <row r="60" spans="2:21" hidden="1" x14ac:dyDescent="0.35">
      <c r="B60" s="18" t="s">
        <v>54</v>
      </c>
      <c r="C60" s="19">
        <f>C59*Sheet2!B30</f>
        <v>0</v>
      </c>
      <c r="D60" s="16"/>
      <c r="E60" s="15"/>
      <c r="F60" s="26"/>
    </row>
    <row r="61" spans="2:21" hidden="1" x14ac:dyDescent="0.35">
      <c r="B61" s="32" t="s">
        <v>55</v>
      </c>
      <c r="C61" s="34">
        <f>C60+Sheet2!B30</f>
        <v>3</v>
      </c>
      <c r="D61" s="16"/>
      <c r="E61" s="15"/>
      <c r="F61" s="26"/>
    </row>
    <row r="62" spans="2:21" x14ac:dyDescent="0.35">
      <c r="B62" s="7"/>
      <c r="C62" s="10"/>
      <c r="D62" s="2"/>
      <c r="E62" s="1"/>
    </row>
    <row r="63" spans="2:21" ht="29" x14ac:dyDescent="0.35">
      <c r="B63" s="89" t="s">
        <v>163</v>
      </c>
      <c r="C63" s="51" t="s">
        <v>117</v>
      </c>
      <c r="D63" s="51" t="s">
        <v>2</v>
      </c>
      <c r="E63" s="1"/>
    </row>
    <row r="64" spans="2:21" ht="39" x14ac:dyDescent="0.35">
      <c r="B64" s="78" t="s">
        <v>120</v>
      </c>
      <c r="C64" s="92"/>
      <c r="D64" s="103">
        <f>IFERROR(IF(AND(C57&lt;=20%,C66&gt;=20%),C67,0),0)</f>
        <v>0</v>
      </c>
      <c r="E64" s="1"/>
      <c r="F64" s="25"/>
      <c r="G64" s="26"/>
      <c r="H64" s="26"/>
      <c r="I64" s="26"/>
      <c r="J64" s="26"/>
      <c r="K64" s="26"/>
      <c r="L64" s="26"/>
      <c r="M64" s="47"/>
      <c r="N64" s="26"/>
    </row>
    <row r="65" spans="2:21" x14ac:dyDescent="0.35">
      <c r="B65" s="68" t="s">
        <v>90</v>
      </c>
      <c r="C65" s="94"/>
      <c r="D65" s="2"/>
      <c r="E65" s="1"/>
      <c r="F65" s="25"/>
    </row>
    <row r="66" spans="2:21" x14ac:dyDescent="0.35">
      <c r="B66" s="68" t="s">
        <v>129</v>
      </c>
      <c r="C66" s="69">
        <f>IFERROR(C65/(C6-C9),0)</f>
        <v>0</v>
      </c>
      <c r="D66" s="2"/>
      <c r="E66" s="1"/>
      <c r="F66" s="55"/>
      <c r="G66" s="54"/>
      <c r="H66" s="54"/>
      <c r="I66" s="54"/>
      <c r="J66" s="54"/>
      <c r="K66" s="54"/>
      <c r="U66" s="57"/>
    </row>
    <row r="67" spans="2:21" hidden="1" x14ac:dyDescent="0.35">
      <c r="B67" s="81" t="s">
        <v>60</v>
      </c>
      <c r="C67" s="59">
        <f>IFERROR(C65/(C6-C9)*5,0)</f>
        <v>0</v>
      </c>
      <c r="D67" s="16"/>
      <c r="E67" s="15"/>
      <c r="F67" s="21"/>
    </row>
    <row r="68" spans="2:21" x14ac:dyDescent="0.35">
      <c r="B68" s="6"/>
      <c r="C68" s="1"/>
      <c r="D68" s="2"/>
      <c r="E68" s="1"/>
    </row>
    <row r="69" spans="2:21" ht="29" x14ac:dyDescent="0.35">
      <c r="B69" s="90" t="s">
        <v>135</v>
      </c>
      <c r="C69" s="51" t="s">
        <v>28</v>
      </c>
      <c r="D69" s="51" t="s">
        <v>2</v>
      </c>
      <c r="E69" s="1"/>
    </row>
    <row r="70" spans="2:21" x14ac:dyDescent="0.35">
      <c r="B70" s="8" t="s">
        <v>136</v>
      </c>
      <c r="C70" s="92"/>
      <c r="D70" s="17" cm="1">
        <f t="array" ref="D70">_xlfn.IFS(C70="Arizona", 8, C70="", 0, C70="California", 5, C70="Nevada", 5)</f>
        <v>0</v>
      </c>
      <c r="E70" s="1"/>
      <c r="F70" s="25"/>
    </row>
    <row r="71" spans="2:21" x14ac:dyDescent="0.35">
      <c r="B71" s="6"/>
      <c r="C71" s="1"/>
      <c r="D71" s="16"/>
      <c r="E71" s="1"/>
      <c r="F71" s="47"/>
    </row>
    <row r="72" spans="2:21" ht="29" x14ac:dyDescent="0.35">
      <c r="B72" s="90" t="s">
        <v>137</v>
      </c>
      <c r="C72" s="51" t="s">
        <v>117</v>
      </c>
      <c r="D72" s="51" t="s">
        <v>2</v>
      </c>
      <c r="E72" s="1"/>
      <c r="F72" s="47"/>
    </row>
    <row r="73" spans="2:21" x14ac:dyDescent="0.35">
      <c r="B73" s="8" t="s">
        <v>138</v>
      </c>
      <c r="C73" s="94"/>
      <c r="D73" s="17" cm="1">
        <f t="array" ref="D73">_xlfn.IFS(C75&lt;=19.99%, 0, C75="", 0, C75&gt;=19.99%, 3)</f>
        <v>0</v>
      </c>
      <c r="F73" s="25"/>
    </row>
    <row r="74" spans="2:21" x14ac:dyDescent="0.35">
      <c r="B74" s="68" t="s">
        <v>139</v>
      </c>
      <c r="C74" s="94"/>
      <c r="D74" s="16"/>
      <c r="E74" s="1"/>
      <c r="F74" s="47"/>
    </row>
    <row r="75" spans="2:21" x14ac:dyDescent="0.35">
      <c r="B75" s="68" t="s">
        <v>61</v>
      </c>
      <c r="C75" s="69" t="str">
        <f>IF(C6=0, "", C74/C6)</f>
        <v/>
      </c>
      <c r="D75" s="16"/>
      <c r="E75" s="1"/>
    </row>
    <row r="76" spans="2:21" x14ac:dyDescent="0.35">
      <c r="B76" s="6"/>
      <c r="C76" s="1"/>
      <c r="D76" s="16"/>
      <c r="E76" s="1"/>
    </row>
    <row r="77" spans="2:21" ht="29" x14ac:dyDescent="0.35">
      <c r="B77" s="91" t="s">
        <v>140</v>
      </c>
      <c r="C77" s="51" t="s">
        <v>28</v>
      </c>
      <c r="D77" s="51" t="s">
        <v>2</v>
      </c>
      <c r="E77" s="1"/>
    </row>
    <row r="78" spans="2:21" x14ac:dyDescent="0.35">
      <c r="B78" s="8" t="s">
        <v>112</v>
      </c>
      <c r="C78" s="92"/>
      <c r="D78" s="17">
        <f t="shared" ref="D78" si="1">IF(C78="yes", 5, 0)</f>
        <v>0</v>
      </c>
    </row>
    <row r="79" spans="2:21" x14ac:dyDescent="0.35">
      <c r="B79" s="13"/>
      <c r="D79" s="17"/>
    </row>
    <row r="80" spans="2:21" ht="29" x14ac:dyDescent="0.35">
      <c r="B80" s="91" t="s">
        <v>141</v>
      </c>
      <c r="C80" s="51" t="s">
        <v>28</v>
      </c>
      <c r="D80" s="51" t="s">
        <v>2</v>
      </c>
    </row>
    <row r="81" spans="2:17" x14ac:dyDescent="0.35">
      <c r="B81" s="8" t="s">
        <v>130</v>
      </c>
      <c r="C81" s="93"/>
      <c r="D81" s="17" cm="1">
        <f t="array" ref="D81">_xlfn.IFS(C81="", 0, C81=Sheet2!A33, 0, C81=Sheet2!A34, 2, C81=Sheet2!A35, 4)</f>
        <v>0</v>
      </c>
    </row>
    <row r="82" spans="2:17" x14ac:dyDescent="0.35">
      <c r="B82" s="70" t="s">
        <v>113</v>
      </c>
      <c r="C82" s="93"/>
      <c r="D82" s="17" cm="1">
        <f t="array" ref="D82">_xlfn.IFS(C82="", 0, C82=Sheet2!D33, 0, C82=Sheet2!D34, 3, C82=Sheet2!D35, 3)</f>
        <v>0</v>
      </c>
    </row>
    <row r="83" spans="2:17" x14ac:dyDescent="0.35">
      <c r="B83" s="13"/>
      <c r="D83" s="17"/>
    </row>
    <row r="84" spans="2:17" ht="29" x14ac:dyDescent="0.35">
      <c r="B84" s="91" t="s">
        <v>142</v>
      </c>
      <c r="C84" s="51" t="s">
        <v>117</v>
      </c>
      <c r="D84" s="51" t="s">
        <v>2</v>
      </c>
    </row>
    <row r="85" spans="2:17" x14ac:dyDescent="0.35">
      <c r="B85" s="8" t="s">
        <v>148</v>
      </c>
      <c r="C85" s="93"/>
      <c r="D85" s="17"/>
      <c r="E85" s="26"/>
      <c r="F85" s="25"/>
    </row>
    <row r="86" spans="2:17" x14ac:dyDescent="0.35">
      <c r="B86" s="84" t="s">
        <v>153</v>
      </c>
      <c r="C86" s="92"/>
      <c r="F86" s="47"/>
    </row>
    <row r="87" spans="2:17" x14ac:dyDescent="0.35">
      <c r="B87" s="84" t="s">
        <v>154</v>
      </c>
      <c r="C87" s="82">
        <f>IFERROR(C86/C6,0)</f>
        <v>0</v>
      </c>
      <c r="D87" s="26"/>
    </row>
    <row r="88" spans="2:17" x14ac:dyDescent="0.35">
      <c r="B88" s="71" t="s">
        <v>151</v>
      </c>
      <c r="C88" s="93"/>
      <c r="D88" s="17"/>
    </row>
    <row r="89" spans="2:17" x14ac:dyDescent="0.35">
      <c r="B89" s="84" t="s">
        <v>155</v>
      </c>
      <c r="C89" s="92"/>
      <c r="D89" s="26"/>
      <c r="F89" s="47"/>
    </row>
    <row r="90" spans="2:17" x14ac:dyDescent="0.35">
      <c r="B90" s="84" t="s">
        <v>154</v>
      </c>
      <c r="C90" s="82">
        <f>IFERROR(C89/C6,0)</f>
        <v>0</v>
      </c>
      <c r="D90" s="26"/>
    </row>
    <row r="91" spans="2:17" hidden="1" x14ac:dyDescent="0.35">
      <c r="B91" s="37" t="s">
        <v>94</v>
      </c>
      <c r="C91" s="22">
        <f>IF(C85="yes", C86/C6*3,0)</f>
        <v>0</v>
      </c>
      <c r="D91" s="17"/>
      <c r="F91" s="24"/>
    </row>
    <row r="92" spans="2:17" hidden="1" x14ac:dyDescent="0.35">
      <c r="B92" s="52" t="s">
        <v>95</v>
      </c>
      <c r="C92" s="22">
        <f>IF(C88="yes", C86/C6*2,0)</f>
        <v>0</v>
      </c>
      <c r="D92" s="17"/>
    </row>
    <row r="93" spans="2:17" x14ac:dyDescent="0.35">
      <c r="B93" s="78" t="s">
        <v>169</v>
      </c>
      <c r="D93" s="100">
        <f>MIN(SUM(C91:C92),3)</f>
        <v>0</v>
      </c>
    </row>
    <row r="94" spans="2:17" ht="39" x14ac:dyDescent="0.35">
      <c r="B94" s="71" t="s">
        <v>152</v>
      </c>
      <c r="C94" s="92"/>
      <c r="D94" s="17">
        <f>IF(C94="yes", 3, 0)</f>
        <v>0</v>
      </c>
      <c r="F94" s="56"/>
      <c r="Q94" s="57"/>
    </row>
    <row r="95" spans="2:17" x14ac:dyDescent="0.35">
      <c r="D95" s="17"/>
    </row>
    <row r="96" spans="2:17" ht="29" x14ac:dyDescent="0.35">
      <c r="B96" s="91" t="s">
        <v>143</v>
      </c>
      <c r="C96" s="51" t="s">
        <v>117</v>
      </c>
      <c r="D96" s="51" t="s">
        <v>2</v>
      </c>
    </row>
    <row r="97" spans="2:18" x14ac:dyDescent="0.35">
      <c r="B97" s="8" t="s">
        <v>116</v>
      </c>
      <c r="C97" s="92"/>
      <c r="D97" s="13" cm="1">
        <f t="array" ref="D97">IFERROR(_xlfn.IFS(C99&lt;20%, 0, C99&gt;=20%, C100*C99),0)</f>
        <v>0</v>
      </c>
    </row>
    <row r="98" spans="2:18" x14ac:dyDescent="0.35">
      <c r="B98" s="8" t="s">
        <v>114</v>
      </c>
      <c r="C98" s="92"/>
      <c r="D98" s="17"/>
    </row>
    <row r="99" spans="2:18" x14ac:dyDescent="0.35">
      <c r="B99" s="8" t="s">
        <v>115</v>
      </c>
      <c r="C99" s="82">
        <f>IFERROR(C98/C6,0)</f>
        <v>0</v>
      </c>
      <c r="D99" s="17"/>
    </row>
    <row r="100" spans="2:18" hidden="1" x14ac:dyDescent="0.35">
      <c r="B100" s="80" t="s">
        <v>60</v>
      </c>
      <c r="C100" s="59">
        <f>IF(C97="yes", 5, 0)</f>
        <v>0</v>
      </c>
      <c r="D100" s="17"/>
    </row>
    <row r="101" spans="2:18" x14ac:dyDescent="0.35">
      <c r="B101" s="13"/>
      <c r="D101" s="13"/>
    </row>
    <row r="102" spans="2:18" x14ac:dyDescent="0.35">
      <c r="B102" s="91" t="s">
        <v>144</v>
      </c>
      <c r="C102" s="48"/>
      <c r="D102" s="51" t="s">
        <v>2</v>
      </c>
      <c r="F102" s="25"/>
      <c r="R102" s="57"/>
    </row>
    <row r="103" spans="2:18" s="9" customFormat="1" ht="27" x14ac:dyDescent="0.35">
      <c r="B103" s="83" t="s">
        <v>147</v>
      </c>
      <c r="C103" s="72">
        <f>IFERROR(C10/C7,0)</f>
        <v>0</v>
      </c>
      <c r="D103" s="77">
        <f>IF(C103=0,0,C107)</f>
        <v>0</v>
      </c>
      <c r="F103" s="53"/>
    </row>
    <row r="104" spans="2:18" s="9" customFormat="1" hidden="1" x14ac:dyDescent="0.35">
      <c r="B104" s="30" t="s">
        <v>78</v>
      </c>
      <c r="C104" s="28">
        <f>Sheet2!A59/(Sheet2!D59-Sheet2!C59)</f>
        <v>1.1428571428571428E-4</v>
      </c>
      <c r="F104" s="27"/>
    </row>
    <row r="105" spans="2:18" s="9" customFormat="1" hidden="1" x14ac:dyDescent="0.35">
      <c r="B105" s="38" t="s">
        <v>79</v>
      </c>
      <c r="C105" s="29">
        <f>IF(C103-Sheet2!C59&lt;0,0,C103-Sheet2!C59)</f>
        <v>0</v>
      </c>
    </row>
    <row r="106" spans="2:18" s="9" customFormat="1" hidden="1" x14ac:dyDescent="0.35">
      <c r="B106" s="39" t="s">
        <v>80</v>
      </c>
      <c r="C106" s="31">
        <f>C105*C104</f>
        <v>0</v>
      </c>
    </row>
    <row r="107" spans="2:18" s="9" customFormat="1" hidden="1" x14ac:dyDescent="0.35">
      <c r="B107" s="32" t="s">
        <v>81</v>
      </c>
      <c r="C107" s="33">
        <f>IF(Sheet2!A59-C106&lt;0,0,Sheet2!A59-C106)</f>
        <v>4</v>
      </c>
    </row>
    <row r="109" spans="2:18" x14ac:dyDescent="0.35">
      <c r="B109" s="91" t="s">
        <v>145</v>
      </c>
      <c r="C109" s="48"/>
      <c r="D109" s="51" t="s">
        <v>2</v>
      </c>
      <c r="F109" s="9"/>
      <c r="R109" s="57"/>
    </row>
    <row r="110" spans="2:18" s="9" customFormat="1" x14ac:dyDescent="0.35">
      <c r="B110" s="73" t="s">
        <v>170</v>
      </c>
      <c r="C110" s="76" t="s">
        <v>100</v>
      </c>
      <c r="D110" s="77">
        <f>IFERROR(C130,0)</f>
        <v>0</v>
      </c>
      <c r="E110" s="27" t="s">
        <v>167</v>
      </c>
    </row>
    <row r="111" spans="2:18" s="9" customFormat="1" x14ac:dyDescent="0.35">
      <c r="B111" s="74" t="s">
        <v>165</v>
      </c>
      <c r="C111" s="95"/>
      <c r="E111" s="97"/>
      <c r="F111" s="61"/>
    </row>
    <row r="112" spans="2:18" s="9" customFormat="1" x14ac:dyDescent="0.35">
      <c r="B112" s="104">
        <v>0.6</v>
      </c>
      <c r="C112" s="95"/>
      <c r="E112" s="98">
        <f>IF(B112&gt;0.5,C112*B112,0)</f>
        <v>0</v>
      </c>
      <c r="F112" s="61"/>
    </row>
    <row r="113" spans="1:6" s="9" customFormat="1" x14ac:dyDescent="0.35">
      <c r="B113" s="104">
        <v>0.7</v>
      </c>
      <c r="C113" s="95"/>
      <c r="E113" s="98">
        <f t="shared" ref="E113:E115" si="2">IF(B113&gt;0.5,C113*B113,0)</f>
        <v>0</v>
      </c>
      <c r="F113" s="61"/>
    </row>
    <row r="114" spans="1:6" s="9" customFormat="1" x14ac:dyDescent="0.35">
      <c r="B114" s="104">
        <v>0.8</v>
      </c>
      <c r="C114" s="95"/>
      <c r="E114" s="98">
        <f t="shared" si="2"/>
        <v>0</v>
      </c>
      <c r="F114" s="61"/>
    </row>
    <row r="115" spans="1:6" s="9" customFormat="1" x14ac:dyDescent="0.35">
      <c r="B115" s="104"/>
      <c r="C115" s="95"/>
      <c r="E115" s="98">
        <f t="shared" si="2"/>
        <v>0</v>
      </c>
      <c r="F115" s="61"/>
    </row>
    <row r="116" spans="1:6" s="9" customFormat="1" x14ac:dyDescent="0.35">
      <c r="B116" s="75" t="s">
        <v>108</v>
      </c>
      <c r="C116" s="95"/>
      <c r="E116" s="41"/>
    </row>
    <row r="117" spans="1:6" s="9" customFormat="1" x14ac:dyDescent="0.35">
      <c r="B117" s="61"/>
    </row>
    <row r="118" spans="1:6" s="27" customFormat="1" hidden="1" x14ac:dyDescent="0.35">
      <c r="B118" s="27" t="s">
        <v>82</v>
      </c>
      <c r="C118" s="40">
        <f>C111</f>
        <v>0</v>
      </c>
    </row>
    <row r="119" spans="1:6" s="27" customFormat="1" hidden="1" x14ac:dyDescent="0.35">
      <c r="B119" s="27" t="s">
        <v>168</v>
      </c>
      <c r="C119" s="40">
        <f>SUM(C112:C115)</f>
        <v>0</v>
      </c>
    </row>
    <row r="120" spans="1:6" s="27" customFormat="1" hidden="1" x14ac:dyDescent="0.35">
      <c r="B120" s="27" t="s">
        <v>73</v>
      </c>
      <c r="C120" s="27">
        <f>C6</f>
        <v>0</v>
      </c>
    </row>
    <row r="121" spans="1:6" s="27" customFormat="1" hidden="1" x14ac:dyDescent="0.35">
      <c r="A121" s="27" t="s">
        <v>98</v>
      </c>
      <c r="B121" s="27" t="s">
        <v>96</v>
      </c>
      <c r="C121" s="96" t="e">
        <f>C118/C120*100</f>
        <v>#DIV/0!</v>
      </c>
    </row>
    <row r="122" spans="1:6" s="27" customFormat="1" hidden="1" x14ac:dyDescent="0.35">
      <c r="B122" s="27" t="s">
        <v>166</v>
      </c>
      <c r="C122" s="42" t="e">
        <f>(C121)-20</f>
        <v>#DIV/0!</v>
      </c>
    </row>
    <row r="123" spans="1:6" s="27" customFormat="1" hidden="1" x14ac:dyDescent="0.35">
      <c r="B123" s="44" t="s">
        <v>107</v>
      </c>
      <c r="C123" s="45" t="e">
        <f>IF(C122*0.5&gt;=20,20,C122*0.5)</f>
        <v>#DIV/0!</v>
      </c>
    </row>
    <row r="124" spans="1:6" s="27" customFormat="1" hidden="1" x14ac:dyDescent="0.35">
      <c r="A124" s="27" t="s">
        <v>99</v>
      </c>
      <c r="B124" s="27" t="s">
        <v>97</v>
      </c>
      <c r="C124" s="42" t="e">
        <f>IF(C121&lt;20,0,IF(C7&gt;0,20-C123,"na"))</f>
        <v>#DIV/0!</v>
      </c>
      <c r="D124" s="60"/>
    </row>
    <row r="125" spans="1:6" s="27" customFormat="1" hidden="1" x14ac:dyDescent="0.35">
      <c r="B125" s="27" t="s">
        <v>101</v>
      </c>
      <c r="C125" s="42" t="e">
        <f>(20-C123)/30</f>
        <v>#DIV/0!</v>
      </c>
      <c r="D125" s="60"/>
    </row>
    <row r="126" spans="1:6" s="27" customFormat="1" hidden="1" x14ac:dyDescent="0.35">
      <c r="B126" s="27" t="s">
        <v>83</v>
      </c>
      <c r="C126" s="42">
        <f>SUM(E111:E116)</f>
        <v>0</v>
      </c>
      <c r="D126" s="60"/>
    </row>
    <row r="127" spans="1:6" s="27" customFormat="1" hidden="1" x14ac:dyDescent="0.35">
      <c r="B127" s="27" t="s">
        <v>102</v>
      </c>
      <c r="C127" s="96" t="e">
        <f>IF($C$124&gt;0,IF($C$119&lt;=0,0,$C$126/$C$119*100),0)</f>
        <v>#DIV/0!</v>
      </c>
      <c r="D127" s="60"/>
    </row>
    <row r="128" spans="1:6" s="27" customFormat="1" hidden="1" x14ac:dyDescent="0.35">
      <c r="B128" s="27" t="s">
        <v>84</v>
      </c>
      <c r="C128" s="43" t="e">
        <f>80-(C127)</f>
        <v>#DIV/0!</v>
      </c>
    </row>
    <row r="129" spans="2:8" s="27" customFormat="1" hidden="1" x14ac:dyDescent="0.35">
      <c r="B129" s="27" t="s">
        <v>85</v>
      </c>
      <c r="C129" s="29" t="e">
        <f>+C125*C128</f>
        <v>#DIV/0!</v>
      </c>
      <c r="D129" s="29" t="e">
        <f>+C123+C129</f>
        <v>#DIV/0!</v>
      </c>
      <c r="E129" s="27" t="s">
        <v>146</v>
      </c>
    </row>
    <row r="130" spans="2:8" s="9" customFormat="1" hidden="1" x14ac:dyDescent="0.35">
      <c r="B130" s="20" t="s">
        <v>103</v>
      </c>
      <c r="C130" s="99" t="e" cm="1">
        <f t="array" ref="C130">_xlfn.IFS(C121&lt;20%,0,C121&gt;20%,D129)</f>
        <v>#DIV/0!</v>
      </c>
    </row>
    <row r="131" spans="2:8" s="9" customFormat="1" x14ac:dyDescent="0.35"/>
    <row r="132" spans="2:8" ht="43.5" customHeight="1" x14ac:dyDescent="0.35">
      <c r="B132" s="105" t="s">
        <v>164</v>
      </c>
      <c r="C132" s="105"/>
      <c r="D132" s="105"/>
    </row>
    <row r="133" spans="2:8" x14ac:dyDescent="0.35">
      <c r="D133" s="25"/>
      <c r="E133" s="25"/>
      <c r="F133" s="25"/>
      <c r="G133" s="25"/>
      <c r="H133" s="25"/>
    </row>
  </sheetData>
  <sheetProtection algorithmName="SHA-512" hashValue="oXSBhkpdPEaa2PqLm8vE0s+lc7OXz9lH9r1sJtdULTCNQUDe7X0mN9AKbEqi1j5KN1t5Bu0lFzuN7gxhPoiacA==" saltValue="AFXoblGssSaL/pp5n40ygA==" spinCount="100000" sheet="1" objects="1" scenarios="1"/>
  <mergeCells count="9">
    <mergeCell ref="B132:D132"/>
    <mergeCell ref="C9:D9"/>
    <mergeCell ref="C10:D10"/>
    <mergeCell ref="B2:D2"/>
    <mergeCell ref="C5:D5"/>
    <mergeCell ref="C4:D4"/>
    <mergeCell ref="C6:D6"/>
    <mergeCell ref="C7:D7"/>
    <mergeCell ref="C8:D8"/>
  </mergeCells>
  <conditionalFormatting sqref="C55:D57">
    <cfRule type="expression" dxfId="3" priority="1">
      <formula>AND($C$64="yes", $C$66&gt;=20%)</formula>
    </cfRule>
  </conditionalFormatting>
  <conditionalFormatting sqref="C64:D65">
    <cfRule type="expression" dxfId="2" priority="7">
      <formula>AND($C$55="yes", $C$57&gt;=20%)</formula>
    </cfRule>
  </conditionalFormatting>
  <conditionalFormatting sqref="C94:D94">
    <cfRule type="expression" dxfId="1" priority="4">
      <formula>$C$88="Yes"</formula>
    </cfRule>
  </conditionalFormatting>
  <conditionalFormatting sqref="C103:D103">
    <cfRule type="expression" dxfId="0" priority="2">
      <formula>AND($C$103&lt;&gt;"",$C$103&gt;65000)</formula>
    </cfRule>
  </conditionalFormatting>
  <pageMargins left="0.7" right="0.7" top="0.75" bottom="0.75" header="0.3" footer="0.3"/>
  <pageSetup orientation="portrait" horizontalDpi="1200" verticalDpi="1200" r:id="rId1"/>
  <headerFooter>
    <oddFooter>&amp;L_x000D_&amp;1#&amp;"Calibri"&amp;9&amp;K0000FF FHLBank San Francisco | Confidential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InputMessage="1" showErrorMessage="1" xr:uid="{A7266299-49D0-414D-B906-3BC41C7ECAB7}">
          <x14:formula1>
            <xm:f>Sheet2!$D$3:$D$22</xm:f>
          </x14:formula1>
          <xm:sqref>C33</xm:sqref>
        </x14:dataValidation>
        <x14:dataValidation type="list" allowBlank="1" showInputMessage="1" showErrorMessage="1" xr:uid="{B9FB86B8-C0EB-4021-8335-B943563074C3}">
          <x14:formula1>
            <xm:f>Sheet2!$A$23:$A$24</xm:f>
          </x14:formula1>
          <xm:sqref>C53</xm:sqref>
        </x14:dataValidation>
        <x14:dataValidation type="list" allowBlank="1" showInputMessage="1" showErrorMessage="1" xr:uid="{A5D55348-E0F4-4D3A-8FD4-26936833FCB1}">
          <x14:formula1>
            <xm:f>Sheet2!$A$22:$A$24</xm:f>
          </x14:formula1>
          <xm:sqref>C64 C55 C52 C73 C78 C97</xm:sqref>
        </x14:dataValidation>
        <x14:dataValidation type="list" allowBlank="1" showInputMessage="1" showErrorMessage="1" xr:uid="{144A61B2-5D4F-4FE8-B955-CE0D00197B26}">
          <x14:formula1>
            <xm:f>Sheet2!$F$3:$F$5</xm:f>
          </x14:formula1>
          <xm:sqref>C34</xm:sqref>
        </x14:dataValidation>
        <x14:dataValidation type="list" allowBlank="1" showInputMessage="1" showErrorMessage="1" xr:uid="{D6D72929-E64A-4AA6-8CDB-AC35051650FA}">
          <x14:formula1>
            <xm:f>Sheet2!$A$3:$A$7</xm:f>
          </x14:formula1>
          <xm:sqref>C29</xm:sqref>
        </x14:dataValidation>
        <x14:dataValidation type="list" allowBlank="1" showInputMessage="1" showErrorMessage="1" xr:uid="{8FD19A9B-71EA-444D-82A0-943C70BCD05B}">
          <x14:formula1>
            <xm:f>Sheet2!$B$3:$B$5</xm:f>
          </x14:formula1>
          <xm:sqref>C30</xm:sqref>
        </x14:dataValidation>
        <x14:dataValidation type="list" allowBlank="1" showInputMessage="1" showErrorMessage="1" xr:uid="{524AFCB9-A827-4CC9-BB6A-FF79AC9644CC}">
          <x14:formula1>
            <xm:f>Sheet2!$C$3:$C$8</xm:f>
          </x14:formula1>
          <xm:sqref>C31:C32</xm:sqref>
        </x14:dataValidation>
        <x14:dataValidation type="list" allowBlank="1" showInputMessage="1" showErrorMessage="1" xr:uid="{D6AF791F-8053-4ACD-BA74-ED911E033AFE}">
          <x14:formula1>
            <xm:f>Sheet2!$G$3:$G$6</xm:f>
          </x14:formula1>
          <xm:sqref>C35</xm:sqref>
        </x14:dataValidation>
        <x14:dataValidation type="list" allowBlank="1" showInputMessage="1" showErrorMessage="1" xr:uid="{EACC92A6-DB6A-4B3A-8327-CD6E94923B7D}">
          <x14:formula1>
            <xm:f>Sheet2!$A$33:$A$36</xm:f>
          </x14:formula1>
          <xm:sqref>C81</xm:sqref>
        </x14:dataValidation>
        <x14:dataValidation type="list" allowBlank="1" showInputMessage="1" showErrorMessage="1" xr:uid="{DFE77871-3D42-4D25-8B7C-9B800D5E7917}">
          <x14:formula1>
            <xm:f>Sheet2!$D$33:$D$36</xm:f>
          </x14:formula1>
          <xm:sqref>C82</xm:sqref>
        </x14:dataValidation>
        <x14:dataValidation type="list" allowBlank="1" showInputMessage="1" showErrorMessage="1" xr:uid="{4ED05441-32E5-4849-A15C-65009C570681}">
          <x14:formula1>
            <xm:f>Sheet2!$A$23:$A$25</xm:f>
          </x14:formula1>
          <xm:sqref>C85 C88 C94</xm:sqref>
        </x14:dataValidation>
        <x14:dataValidation type="list" allowBlank="1" showInputMessage="1" showErrorMessage="1" xr:uid="{11D3BDC9-3900-455A-AC92-EEFC6962AC5D}">
          <x14:formula1>
            <xm:f>Sheet2!$A$17:$A$20</xm:f>
          </x14:formula1>
          <xm:sqref>C70</xm:sqref>
        </x14:dataValidation>
        <x14:dataValidation type="list" allowBlank="1" showInputMessage="1" showErrorMessage="1" xr:uid="{1ADD0AD1-36ED-4A4F-B0A3-E44153DDBC1E}">
          <x14:formula1>
            <xm:f>Sheet2!$A$44:$A$49</xm:f>
          </x14:formula1>
          <xm:sqref>C44</xm:sqref>
        </x14:dataValidation>
        <x14:dataValidation type="list" allowBlank="1" showInputMessage="1" showErrorMessage="1" xr:uid="{DC463C2C-2583-49C4-897E-9DA790D176A6}">
          <x14:formula1>
            <xm:f>Sheet2!$A$38:$A$40</xm:f>
          </x14:formula1>
          <xm:sqref>C38</xm:sqref>
        </x14:dataValidation>
        <x14:dataValidation type="list" allowBlank="1" showInputMessage="1" showErrorMessage="1" xr:uid="{66511F07-4849-4133-BA1D-BA7DBE8F3681}">
          <x14:formula1>
            <xm:f>Sheet2!$A$41:$A$43</xm:f>
          </x14:formula1>
          <xm:sqref>C41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CE492D-DEE1-4F94-B752-FBF8277CDF05}">
  <dimension ref="A1:G59"/>
  <sheetViews>
    <sheetView topLeftCell="A21" workbookViewId="0">
      <selection activeCell="A64" sqref="A64"/>
    </sheetView>
  </sheetViews>
  <sheetFormatPr defaultRowHeight="14.5" x14ac:dyDescent="0.35"/>
  <cols>
    <col min="1" max="1" width="60.26953125" bestFit="1" customWidth="1"/>
    <col min="2" max="2" width="13" bestFit="1" customWidth="1"/>
    <col min="3" max="3" width="13" customWidth="1"/>
    <col min="4" max="4" width="46" bestFit="1" customWidth="1"/>
    <col min="5" max="6" width="46" customWidth="1"/>
    <col min="7" max="7" width="58.453125" bestFit="1" customWidth="1"/>
  </cols>
  <sheetData>
    <row r="1" spans="1:7" x14ac:dyDescent="0.35">
      <c r="A1" s="2" t="s">
        <v>3</v>
      </c>
      <c r="B1" s="1"/>
      <c r="C1" s="1"/>
      <c r="D1" s="1"/>
      <c r="E1" s="1"/>
      <c r="F1" s="1"/>
      <c r="G1" s="1"/>
    </row>
    <row r="2" spans="1:7" ht="72.5" x14ac:dyDescent="0.35">
      <c r="A2" s="3" t="s">
        <v>149</v>
      </c>
      <c r="B2" s="3" t="s">
        <v>150</v>
      </c>
      <c r="C2" s="3" t="s">
        <v>27</v>
      </c>
      <c r="D2" s="3" t="s">
        <v>26</v>
      </c>
      <c r="E2" s="3"/>
      <c r="F2" s="3" t="s">
        <v>47</v>
      </c>
      <c r="G2" s="3" t="s">
        <v>18</v>
      </c>
    </row>
    <row r="3" spans="1:7" x14ac:dyDescent="0.35">
      <c r="D3" s="1" t="s">
        <v>29</v>
      </c>
      <c r="E3" s="1">
        <v>1</v>
      </c>
    </row>
    <row r="4" spans="1:7" x14ac:dyDescent="0.35">
      <c r="A4" s="1" t="s">
        <v>19</v>
      </c>
      <c r="B4" s="1" t="s">
        <v>20</v>
      </c>
      <c r="C4" s="1">
        <v>1</v>
      </c>
      <c r="D4" s="1" t="s">
        <v>30</v>
      </c>
      <c r="E4" s="1">
        <v>1</v>
      </c>
      <c r="F4" s="1" t="s">
        <v>49</v>
      </c>
      <c r="G4" s="1" t="s">
        <v>21</v>
      </c>
    </row>
    <row r="5" spans="1:7" x14ac:dyDescent="0.35">
      <c r="A5" s="1" t="s">
        <v>156</v>
      </c>
      <c r="B5" s="1" t="s">
        <v>22</v>
      </c>
      <c r="C5" s="1">
        <v>2</v>
      </c>
      <c r="D5" s="1" t="s">
        <v>44</v>
      </c>
      <c r="E5" s="1">
        <v>1</v>
      </c>
      <c r="F5" s="1" t="s">
        <v>50</v>
      </c>
      <c r="G5" s="1" t="s">
        <v>23</v>
      </c>
    </row>
    <row r="6" spans="1:7" x14ac:dyDescent="0.35">
      <c r="A6" s="1" t="s">
        <v>16</v>
      </c>
      <c r="B6" s="1"/>
      <c r="C6" s="1">
        <v>3</v>
      </c>
      <c r="D6" s="1" t="s">
        <v>32</v>
      </c>
      <c r="E6" s="1">
        <v>1</v>
      </c>
      <c r="F6" s="1"/>
      <c r="G6" s="1" t="s">
        <v>24</v>
      </c>
    </row>
    <row r="7" spans="1:7" x14ac:dyDescent="0.35">
      <c r="A7" s="1" t="s">
        <v>17</v>
      </c>
      <c r="B7" s="1"/>
      <c r="C7" s="1">
        <v>4</v>
      </c>
      <c r="D7" s="1" t="s">
        <v>31</v>
      </c>
      <c r="E7" s="1">
        <v>1</v>
      </c>
      <c r="F7" s="1"/>
      <c r="G7" s="1"/>
    </row>
    <row r="8" spans="1:7" x14ac:dyDescent="0.35">
      <c r="A8" s="1"/>
      <c r="B8" s="1"/>
      <c r="C8" s="1">
        <v>0</v>
      </c>
      <c r="D8" s="1" t="s">
        <v>33</v>
      </c>
      <c r="E8" s="1">
        <v>2</v>
      </c>
      <c r="F8" s="1"/>
      <c r="G8" s="1"/>
    </row>
    <row r="9" spans="1:7" x14ac:dyDescent="0.35">
      <c r="A9" s="1"/>
      <c r="B9" s="1"/>
      <c r="C9" s="1"/>
      <c r="D9" s="1" t="s">
        <v>34</v>
      </c>
      <c r="E9" s="1">
        <v>2</v>
      </c>
      <c r="F9" s="1"/>
      <c r="G9" s="1"/>
    </row>
    <row r="10" spans="1:7" x14ac:dyDescent="0.35">
      <c r="D10" s="1" t="s">
        <v>45</v>
      </c>
      <c r="E10" s="1">
        <v>2</v>
      </c>
      <c r="F10" s="1"/>
    </row>
    <row r="11" spans="1:7" x14ac:dyDescent="0.35">
      <c r="D11" s="1" t="s">
        <v>35</v>
      </c>
      <c r="E11" s="1">
        <v>2</v>
      </c>
      <c r="F11" s="1"/>
    </row>
    <row r="12" spans="1:7" x14ac:dyDescent="0.35">
      <c r="D12" s="1" t="s">
        <v>36</v>
      </c>
      <c r="E12" s="1">
        <v>2</v>
      </c>
      <c r="F12" s="1"/>
    </row>
    <row r="13" spans="1:7" x14ac:dyDescent="0.35">
      <c r="D13" s="1" t="s">
        <v>37</v>
      </c>
      <c r="E13" s="1">
        <v>2</v>
      </c>
      <c r="F13" s="1"/>
    </row>
    <row r="14" spans="1:7" x14ac:dyDescent="0.35">
      <c r="D14" s="1" t="s">
        <v>38</v>
      </c>
      <c r="E14" s="1">
        <v>3</v>
      </c>
      <c r="F14" s="1"/>
    </row>
    <row r="15" spans="1:7" x14ac:dyDescent="0.35">
      <c r="D15" s="1" t="s">
        <v>39</v>
      </c>
      <c r="E15" s="1">
        <v>3</v>
      </c>
      <c r="F15" s="1"/>
    </row>
    <row r="16" spans="1:7" x14ac:dyDescent="0.35">
      <c r="D16" s="1" t="s">
        <v>46</v>
      </c>
      <c r="E16" s="1">
        <v>3</v>
      </c>
      <c r="F16" s="1"/>
    </row>
    <row r="17" spans="1:6" x14ac:dyDescent="0.35">
      <c r="D17" s="1" t="s">
        <v>40</v>
      </c>
      <c r="E17" s="1">
        <v>3</v>
      </c>
      <c r="F17" s="1"/>
    </row>
    <row r="18" spans="1:6" x14ac:dyDescent="0.35">
      <c r="A18" t="s">
        <v>91</v>
      </c>
      <c r="D18" s="1" t="s">
        <v>41</v>
      </c>
      <c r="E18" s="1">
        <v>3</v>
      </c>
      <c r="F18" s="1"/>
    </row>
    <row r="19" spans="1:6" x14ac:dyDescent="0.35">
      <c r="A19" t="s">
        <v>92</v>
      </c>
      <c r="D19" s="1" t="s">
        <v>42</v>
      </c>
      <c r="E19" s="1">
        <v>3</v>
      </c>
      <c r="F19" s="1"/>
    </row>
    <row r="20" spans="1:6" x14ac:dyDescent="0.35">
      <c r="A20" t="s">
        <v>93</v>
      </c>
      <c r="D20" s="1" t="s">
        <v>43</v>
      </c>
      <c r="E20" s="1">
        <v>3</v>
      </c>
      <c r="F20" s="1"/>
    </row>
    <row r="21" spans="1:6" x14ac:dyDescent="0.35">
      <c r="D21" s="1" t="s">
        <v>17</v>
      </c>
      <c r="E21" s="1">
        <v>0</v>
      </c>
      <c r="F21" s="1"/>
    </row>
    <row r="22" spans="1:6" x14ac:dyDescent="0.35">
      <c r="A22" s="4"/>
    </row>
    <row r="23" spans="1:6" x14ac:dyDescent="0.35">
      <c r="A23" t="s">
        <v>49</v>
      </c>
    </row>
    <row r="24" spans="1:6" x14ac:dyDescent="0.35">
      <c r="A24" t="s">
        <v>50</v>
      </c>
    </row>
    <row r="26" spans="1:6" x14ac:dyDescent="0.35">
      <c r="A26" s="13" t="s">
        <v>6</v>
      </c>
    </row>
    <row r="27" spans="1:6" x14ac:dyDescent="0.35">
      <c r="A27" s="8" t="s">
        <v>56</v>
      </c>
      <c r="B27" s="14">
        <v>0.2</v>
      </c>
      <c r="C27" s="5"/>
    </row>
    <row r="28" spans="1:6" x14ac:dyDescent="0.35">
      <c r="A28" s="8" t="s">
        <v>57</v>
      </c>
      <c r="B28" s="14">
        <v>0.8</v>
      </c>
      <c r="C28" s="5"/>
    </row>
    <row r="29" spans="1:6" x14ac:dyDescent="0.35">
      <c r="A29" s="8" t="s">
        <v>58</v>
      </c>
      <c r="B29" s="9">
        <v>6</v>
      </c>
      <c r="C29" s="5"/>
    </row>
    <row r="30" spans="1:6" x14ac:dyDescent="0.35">
      <c r="A30" s="8" t="s">
        <v>59</v>
      </c>
      <c r="B30" s="9">
        <v>3</v>
      </c>
      <c r="C30" s="5"/>
    </row>
    <row r="31" spans="1:6" x14ac:dyDescent="0.35">
      <c r="B31" s="8"/>
      <c r="C31" s="8"/>
      <c r="D31" s="8"/>
    </row>
    <row r="32" spans="1:6" x14ac:dyDescent="0.35">
      <c r="A32" s="13" t="s">
        <v>62</v>
      </c>
      <c r="B32" s="8"/>
      <c r="C32" s="8"/>
      <c r="D32" s="13" t="s">
        <v>66</v>
      </c>
    </row>
    <row r="33" spans="1:5" x14ac:dyDescent="0.35">
      <c r="A33" t="s">
        <v>65</v>
      </c>
      <c r="B33" s="8">
        <v>0</v>
      </c>
      <c r="C33" s="8"/>
      <c r="D33" s="8" t="s">
        <v>67</v>
      </c>
      <c r="E33">
        <v>0</v>
      </c>
    </row>
    <row r="34" spans="1:5" x14ac:dyDescent="0.35">
      <c r="A34" t="s">
        <v>64</v>
      </c>
      <c r="B34" s="8">
        <v>2</v>
      </c>
      <c r="C34" s="8"/>
      <c r="D34" s="8" t="s">
        <v>69</v>
      </c>
      <c r="E34">
        <v>3</v>
      </c>
    </row>
    <row r="35" spans="1:5" x14ac:dyDescent="0.35">
      <c r="A35" t="s">
        <v>63</v>
      </c>
      <c r="B35" s="8">
        <v>4</v>
      </c>
      <c r="C35" s="8"/>
      <c r="D35" s="8" t="s">
        <v>68</v>
      </c>
      <c r="E35">
        <v>3</v>
      </c>
    </row>
    <row r="36" spans="1:5" x14ac:dyDescent="0.35">
      <c r="B36" s="8"/>
      <c r="C36" s="8"/>
      <c r="D36" s="8"/>
    </row>
    <row r="37" spans="1:5" x14ac:dyDescent="0.35">
      <c r="A37" s="4" t="s">
        <v>4</v>
      </c>
      <c r="B37" s="8"/>
      <c r="C37" s="8"/>
      <c r="D37" s="8"/>
    </row>
    <row r="38" spans="1:5" x14ac:dyDescent="0.35">
      <c r="A38" s="4"/>
      <c r="B38" s="8"/>
      <c r="C38" s="8"/>
      <c r="D38" s="8"/>
    </row>
    <row r="39" spans="1:5" x14ac:dyDescent="0.35">
      <c r="A39" s="8" t="s">
        <v>127</v>
      </c>
      <c r="B39" s="8">
        <v>0</v>
      </c>
      <c r="C39" s="8"/>
      <c r="D39" s="8"/>
    </row>
    <row r="40" spans="1:5" x14ac:dyDescent="0.35">
      <c r="A40" s="8" t="s">
        <v>122</v>
      </c>
      <c r="B40" s="8">
        <v>5</v>
      </c>
      <c r="C40" s="8"/>
      <c r="D40" s="8"/>
    </row>
    <row r="41" spans="1:5" x14ac:dyDescent="0.35">
      <c r="A41" s="8"/>
      <c r="B41" s="8"/>
      <c r="C41" s="8"/>
      <c r="D41" s="8"/>
    </row>
    <row r="42" spans="1:5" x14ac:dyDescent="0.35">
      <c r="A42" s="8" t="s">
        <v>127</v>
      </c>
      <c r="B42" s="8"/>
      <c r="C42" s="8"/>
      <c r="D42" s="8"/>
    </row>
    <row r="43" spans="1:5" x14ac:dyDescent="0.35">
      <c r="A43" s="79" t="s">
        <v>121</v>
      </c>
      <c r="B43" s="8">
        <v>1</v>
      </c>
      <c r="C43" s="8"/>
      <c r="D43" s="8"/>
    </row>
    <row r="44" spans="1:5" x14ac:dyDescent="0.35">
      <c r="A44" s="79"/>
      <c r="B44" s="8"/>
      <c r="C44" s="8"/>
      <c r="D44" s="8"/>
    </row>
    <row r="45" spans="1:5" x14ac:dyDescent="0.35">
      <c r="A45" s="8" t="s">
        <v>127</v>
      </c>
      <c r="B45" s="8"/>
      <c r="C45" s="8"/>
      <c r="D45" s="8"/>
    </row>
    <row r="46" spans="1:5" x14ac:dyDescent="0.35">
      <c r="A46" s="8" t="s">
        <v>123</v>
      </c>
      <c r="B46" s="8">
        <v>1</v>
      </c>
      <c r="C46" s="8"/>
      <c r="D46" s="8"/>
    </row>
    <row r="47" spans="1:5" x14ac:dyDescent="0.35">
      <c r="A47" s="8" t="s">
        <v>124</v>
      </c>
      <c r="B47" s="8">
        <v>2</v>
      </c>
      <c r="C47" s="8"/>
      <c r="D47" s="8"/>
    </row>
    <row r="48" spans="1:5" x14ac:dyDescent="0.35">
      <c r="A48" s="8" t="s">
        <v>125</v>
      </c>
      <c r="B48" s="8">
        <v>3</v>
      </c>
      <c r="C48" s="8"/>
      <c r="D48" s="8"/>
    </row>
    <row r="49" spans="1:4" x14ac:dyDescent="0.35">
      <c r="A49" s="8" t="s">
        <v>126</v>
      </c>
      <c r="B49" s="8">
        <v>4</v>
      </c>
      <c r="C49" s="8"/>
      <c r="D49" s="8"/>
    </row>
    <row r="50" spans="1:4" x14ac:dyDescent="0.35">
      <c r="A50" s="8"/>
      <c r="B50" s="8"/>
      <c r="C50" s="8"/>
      <c r="D50" s="8"/>
    </row>
    <row r="51" spans="1:4" x14ac:dyDescent="0.35">
      <c r="A51" s="13" t="s">
        <v>11</v>
      </c>
      <c r="B51" s="8"/>
      <c r="C51" s="8"/>
      <c r="D51" s="8"/>
    </row>
    <row r="52" spans="1:4" x14ac:dyDescent="0.35">
      <c r="A52" s="8" t="s">
        <v>70</v>
      </c>
      <c r="B52" s="8">
        <v>3</v>
      </c>
      <c r="C52" s="8"/>
      <c r="D52" s="8"/>
    </row>
    <row r="53" spans="1:4" x14ac:dyDescent="0.35">
      <c r="A53" s="8" t="s">
        <v>71</v>
      </c>
      <c r="B53" s="8">
        <v>2</v>
      </c>
      <c r="C53" s="8"/>
      <c r="D53" s="8"/>
    </row>
    <row r="54" spans="1:4" x14ac:dyDescent="0.35">
      <c r="A54" s="8"/>
      <c r="B54" s="8"/>
      <c r="C54" s="8"/>
      <c r="D54" s="8"/>
    </row>
    <row r="55" spans="1:4" x14ac:dyDescent="0.35">
      <c r="A55" s="8" t="s">
        <v>72</v>
      </c>
      <c r="B55" s="8">
        <v>3</v>
      </c>
      <c r="C55" s="8"/>
      <c r="D55" s="8"/>
    </row>
    <row r="56" spans="1:4" x14ac:dyDescent="0.35">
      <c r="B56" s="8"/>
      <c r="C56" s="8"/>
      <c r="D56" s="8"/>
    </row>
    <row r="57" spans="1:4" x14ac:dyDescent="0.35">
      <c r="B57" s="8"/>
      <c r="C57" s="8"/>
      <c r="D57" s="8"/>
    </row>
    <row r="58" spans="1:4" s="8" customFormat="1" ht="29" x14ac:dyDescent="0.35">
      <c r="A58" s="11" t="s">
        <v>74</v>
      </c>
      <c r="B58" s="11" t="s">
        <v>75</v>
      </c>
      <c r="C58" s="11" t="s">
        <v>76</v>
      </c>
      <c r="D58" s="11" t="s">
        <v>77</v>
      </c>
    </row>
    <row r="59" spans="1:4" s="8" customFormat="1" x14ac:dyDescent="0.35">
      <c r="A59" s="8">
        <v>4</v>
      </c>
      <c r="B59" s="23">
        <v>2000000</v>
      </c>
      <c r="C59" s="23">
        <v>30000</v>
      </c>
      <c r="D59" s="23">
        <v>65000</v>
      </c>
    </row>
  </sheetData>
  <sheetProtection algorithmName="SHA-512" hashValue="EOkBWj2pXdv2xB2yXR6UT5gMRSYu4KRn6c32pyB6+fIyJV4zYwSfiqmTGwL0/0/x2Bsx0kZ01g3Vjbu81N/86Q==" saltValue="GkCU4NtzEUu25H0+bhRSGw==" spinCount="100000" sheet="1" objects="1" scenarios="1"/>
  <pageMargins left="0.7" right="0.7" top="0.75" bottom="0.75" header="0.3" footer="0.3"/>
  <pageSetup orientation="portrait" horizontalDpi="1200" verticalDpi="1200" r:id="rId1"/>
  <headerFooter>
    <oddFooter>&amp;L_x000D_&amp;1#&amp;"Calibri"&amp;9&amp;K0000FF FHLBank San Francisco | Confidential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F82FF-3887-4AD8-8425-518D4A50B97A}">
  <dimension ref="A1"/>
  <sheetViews>
    <sheetView workbookViewId="0">
      <selection activeCell="N1" sqref="N1"/>
    </sheetView>
  </sheetViews>
  <sheetFormatPr defaultRowHeight="14.5" x14ac:dyDescent="0.35"/>
  <sheetData/>
  <sheetProtection algorithmName="SHA-512" hashValue="JJlRy8wkYM9sPMRunK9+DrliWQh0CpGxEGOfoNRd1eukHIk7PkQdQhywev/tpjPF8/2hz5m0cGDBDkINOkGetQ==" saltValue="SgwSHZIgPIEIM7jB8M1KGQ==" spinCount="100000" sheet="1" objects="1" scenarios="1" selectLockedCells="1" selectUnlockedCells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2026 Estimated Score</vt:lpstr>
      <vt:lpstr>Sheet2</vt:lpstr>
      <vt:lpstr>2025 Scoring Results</vt:lpstr>
    </vt:vector>
  </TitlesOfParts>
  <Company>Federal Home Loan Bank of SF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Chou, Kelly</dc:creator>
  <cp:lastModifiedBy>Chou, Kelly</cp:lastModifiedBy>
  <dcterms:created xsi:type="dcterms:W3CDTF">2025-10-28T22:27:13Z</dcterms:created>
  <dcterms:modified xsi:type="dcterms:W3CDTF">2026-01-29T23:25:23Z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6b385a4-c4f2-4c8e-b56c-f802145fa077_Enabled">
    <vt:lpwstr>true</vt:lpwstr>
  </property>
  <property fmtid="{D5CDD505-2E9C-101B-9397-08002B2CF9AE}" pid="3" name="MSIP_Label_f6b385a4-c4f2-4c8e-b56c-f802145fa077_SetDate">
    <vt:lpwstr>2025-10-28T23:02:16Z</vt:lpwstr>
  </property>
  <property fmtid="{D5CDD505-2E9C-101B-9397-08002B2CF9AE}" pid="4" name="MSIP_Label_f6b385a4-c4f2-4c8e-b56c-f802145fa077_Method">
    <vt:lpwstr>Privileged</vt:lpwstr>
  </property>
  <property fmtid="{D5CDD505-2E9C-101B-9397-08002B2CF9AE}" pid="5" name="MSIP_Label_f6b385a4-c4f2-4c8e-b56c-f802145fa077_Name">
    <vt:lpwstr>Internal</vt:lpwstr>
  </property>
  <property fmtid="{D5CDD505-2E9C-101B-9397-08002B2CF9AE}" pid="6" name="MSIP_Label_f6b385a4-c4f2-4c8e-b56c-f802145fa077_SiteId">
    <vt:lpwstr>f0780ff9-b2ea-4cc5-aac1-4c940bd78c8c</vt:lpwstr>
  </property>
  <property fmtid="{D5CDD505-2E9C-101B-9397-08002B2CF9AE}" pid="7" name="MSIP_Label_f6b385a4-c4f2-4c8e-b56c-f802145fa077_ActionId">
    <vt:lpwstr>c47c4921-a835-460a-b2e7-c1b89e772ee2</vt:lpwstr>
  </property>
  <property fmtid="{D5CDD505-2E9C-101B-9397-08002B2CF9AE}" pid="8" name="MSIP_Label_f6b385a4-c4f2-4c8e-b56c-f802145fa077_ContentBits">
    <vt:lpwstr>2</vt:lpwstr>
  </property>
  <property fmtid="{D5CDD505-2E9C-101B-9397-08002B2CF9AE}" pid="9" name="MSIP_Label_f6b385a4-c4f2-4c8e-b56c-f802145fa077_Tag">
    <vt:lpwstr>10, 0, 1, 1</vt:lpwstr>
  </property>
</Properties>
</file>