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J:\TEMP\2025\Research\Self-Score Worksheet\"/>
    </mc:Choice>
  </mc:AlternateContent>
  <xr:revisionPtr revIDLastSave="0" documentId="13_ncr:1_{CF066897-9B02-449A-AF1A-5EB3528B76AB}" xr6:coauthVersionLast="47" xr6:coauthVersionMax="47" xr10:uidLastSave="{00000000-0000-0000-0000-000000000000}"/>
  <bookViews>
    <workbookView xWindow="19110" yWindow="0" windowWidth="19380" windowHeight="20970" xr2:uid="{CC8F1C40-B769-49DA-9760-B4386C7EF84F}"/>
  </bookViews>
  <sheets>
    <sheet name="2026 Estimated Score" sheetId="2" r:id="rId1"/>
    <sheet name="Sheet2" sheetId="3" state="hidden" r:id="rId2"/>
    <sheet name="2025 Scoring Results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9" i="2" l="1"/>
  <c r="C87" i="2"/>
  <c r="C86" i="2"/>
  <c r="C118" i="2"/>
  <c r="C117" i="2"/>
  <c r="E111" i="2"/>
  <c r="E112" i="2"/>
  <c r="E113" i="2"/>
  <c r="E110" i="2"/>
  <c r="C124" i="2" l="1"/>
  <c r="C82" i="2" l="1"/>
  <c r="C116" i="2"/>
  <c r="D88" i="2" l="1"/>
  <c r="D20" i="2" s="1"/>
  <c r="C119" i="2"/>
  <c r="C120" i="2" s="1"/>
  <c r="C102" i="2"/>
  <c r="C101" i="2"/>
  <c r="C103" i="2" s="1"/>
  <c r="C104" i="2" s="1"/>
  <c r="C105" i="2" s="1"/>
  <c r="D101" i="2" s="1"/>
  <c r="D76" i="2" a="1"/>
  <c r="D76" i="2" s="1"/>
  <c r="D75" i="2" a="1"/>
  <c r="D75" i="2" s="1"/>
  <c r="D33" i="2"/>
  <c r="C98" i="2"/>
  <c r="D98" i="2" s="1"/>
  <c r="D34" i="2" l="1"/>
  <c r="D28" i="2"/>
  <c r="C64" i="2"/>
  <c r="D77" i="2" l="1"/>
  <c r="C94" i="2" l="1"/>
  <c r="C85" i="2"/>
  <c r="C63" i="2"/>
  <c r="C54" i="2"/>
  <c r="C46" i="2"/>
  <c r="C43" i="2"/>
  <c r="C40" i="2"/>
  <c r="D61" i="2" l="1"/>
  <c r="C49" i="2" a="1"/>
  <c r="C49" i="2" s="1"/>
  <c r="D44" i="2" s="1"/>
  <c r="C48" i="2" a="1"/>
  <c r="C48" i="2" s="1"/>
  <c r="D41" i="2" s="1"/>
  <c r="C47" i="2" a="1"/>
  <c r="C47" i="2" s="1"/>
  <c r="D38" i="2" s="1"/>
  <c r="D14" i="2" l="1"/>
  <c r="C95" i="2"/>
  <c r="D92" i="2" s="1" a="1"/>
  <c r="D92" i="2" s="1"/>
  <c r="D21" i="2" s="1"/>
  <c r="C55" i="2" l="1"/>
  <c r="C56" i="2" s="1"/>
  <c r="C121" i="2" l="1"/>
  <c r="C122" i="2" l="1"/>
  <c r="C125" i="2" s="1"/>
  <c r="C126" i="2" s="1"/>
  <c r="C123" i="2"/>
  <c r="D19" i="2"/>
  <c r="C69" i="2"/>
  <c r="D67" i="2" s="1" a="1"/>
  <c r="D67" i="2" s="1"/>
  <c r="D22" i="2"/>
  <c r="D16" i="2"/>
  <c r="C127" i="2" l="1"/>
  <c r="D127" i="2" s="1"/>
  <c r="D17" i="2"/>
  <c r="C25" i="2"/>
  <c r="D72" i="2"/>
  <c r="D18" i="2" s="1"/>
  <c r="D32" i="2" a="1"/>
  <c r="D32" i="2" s="1"/>
  <c r="D35" i="2"/>
  <c r="C57" i="2"/>
  <c r="C58" i="2" s="1"/>
  <c r="D52" i="2" l="1"/>
  <c r="D15" i="2" s="1"/>
  <c r="D23" i="2" l="1"/>
  <c r="C128" i="2" a="1"/>
  <c r="C128" i="2" s="1"/>
  <c r="D108" i="2" s="1"/>
  <c r="D29" i="2" l="1"/>
  <c r="D24" i="2" l="1"/>
  <c r="D31" i="2" a="1"/>
  <c r="D31" i="2" s="1"/>
  <c r="D30" i="2" a="1"/>
  <c r="D30" i="2" s="1"/>
  <c r="D13" i="2" l="1" a="1"/>
  <c r="D13" i="2" s="1"/>
  <c r="D25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Chou, Kelly</author>
  </authors>
  <commentList>
    <comment ref="B110" authorId="0" shapeId="0" xr:uid="{B4AA9BCF-E455-472B-8358-07FEDD2EA181}">
      <text>
        <r>
          <rPr>
            <sz val="9"/>
            <color indexed="81"/>
            <rFont val="Tahoma"/>
            <family val="2"/>
          </rPr>
          <t xml:space="preserve">Enter AMI percentage between 51% to 80% only 
</t>
        </r>
      </text>
    </comment>
    <comment ref="B111" authorId="0" shapeId="0" xr:uid="{90299501-639B-46AB-840C-ADD94ACC6ED5}">
      <text>
        <r>
          <rPr>
            <sz val="9"/>
            <color indexed="81"/>
            <rFont val="Tahoma"/>
            <family val="2"/>
          </rPr>
          <t xml:space="preserve">Enter AMI percentage between 51% to 80% only 
</t>
        </r>
      </text>
    </comment>
    <comment ref="B112" authorId="0" shapeId="0" xr:uid="{04EE3511-BE6F-46AE-B3BA-9D0CEDBC4C22}">
      <text>
        <r>
          <rPr>
            <sz val="9"/>
            <color indexed="81"/>
            <rFont val="Tahoma"/>
            <family val="2"/>
          </rPr>
          <t xml:space="preserve">Enter AMI percentage between 51% to 80% only 
</t>
        </r>
      </text>
    </comment>
    <comment ref="B113" authorId="0" shapeId="0" xr:uid="{61546186-5700-4E9B-98F8-ACCD9889EB86}">
      <text>
        <r>
          <rPr>
            <sz val="9"/>
            <color indexed="81"/>
            <rFont val="Tahoma"/>
            <family val="2"/>
          </rPr>
          <t xml:space="preserve">Enter AMI percentage between 51% to 80% only 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<sst xmlns="http://schemas.openxmlformats.org/spreadsheetml/2006/main" count="212" uniqueCount="170">
  <si>
    <t>Category</t>
  </si>
  <si>
    <t>Maximum Points</t>
  </si>
  <si>
    <t>Estimated Score</t>
  </si>
  <si>
    <t>Community Stability</t>
  </si>
  <si>
    <t>Donated Property</t>
  </si>
  <si>
    <t>Homeless</t>
  </si>
  <si>
    <t>Large Units</t>
  </si>
  <si>
    <t>Native Housing</t>
  </si>
  <si>
    <t>Nonprofit Sponsorship</t>
  </si>
  <si>
    <t>Project Readiness</t>
  </si>
  <si>
    <t>Rural</t>
  </si>
  <si>
    <t>Special Needs</t>
  </si>
  <si>
    <t>Subsidy Per Unit</t>
  </si>
  <si>
    <t>Targeting</t>
  </si>
  <si>
    <t>Substantial Rehabilitation</t>
  </si>
  <si>
    <t>None</t>
  </si>
  <si>
    <t>6) Preventing or Minimizing Household Displacement</t>
  </si>
  <si>
    <t>Infill</t>
  </si>
  <si>
    <t>Applicable</t>
  </si>
  <si>
    <t>No Displacement</t>
  </si>
  <si>
    <t>Not Applicable</t>
  </si>
  <si>
    <t>Project Site is Occupied and an Acceptable Relocation Plan is in Place</t>
  </si>
  <si>
    <t>Displacement with no Mitigation</t>
  </si>
  <si>
    <t>3) # of Transit Options</t>
  </si>
  <si>
    <t>4) Sustainable Developments</t>
  </si>
  <si>
    <t>3) Proximity to Transit and Amenities</t>
  </si>
  <si>
    <t>Select from drop down menu</t>
  </si>
  <si>
    <t>LEED Certified</t>
  </si>
  <si>
    <t>GreenPoint Certified</t>
  </si>
  <si>
    <t xml:space="preserve">Rehab HERS rating - 20% improvement </t>
  </si>
  <si>
    <t>National Green Building Standard Bronze</t>
  </si>
  <si>
    <t>LEED Silver</t>
  </si>
  <si>
    <t>GreenPoint Silver</t>
  </si>
  <si>
    <t>Enterprise Green Communities</t>
  </si>
  <si>
    <t>National Green Building Standard Silver</t>
  </si>
  <si>
    <t xml:space="preserve">Rehab HERS rating - 25% improvement </t>
  </si>
  <si>
    <t>LEED Gold or Higher</t>
  </si>
  <si>
    <t>GreenPoint Gold or Higher</t>
  </si>
  <si>
    <t>National Green Building Standard Gold or Higher</t>
  </si>
  <si>
    <t xml:space="preserve">Rehab HERS rating - 30% improvement </t>
  </si>
  <si>
    <t xml:space="preserve">LEED-certified Net Zero Certification </t>
  </si>
  <si>
    <t>Enterprise Green Communities 2020 Plus Certification</t>
  </si>
  <si>
    <t>Silver State Sustainable Home Tier 1</t>
  </si>
  <si>
    <t>Silver State Sustainable Home Tier 2</t>
  </si>
  <si>
    <t>Silver State Sustainable Home Tier 3</t>
  </si>
  <si>
    <t>5) Economic Integration</t>
  </si>
  <si>
    <t>Yes</t>
  </si>
  <si>
    <t>No</t>
  </si>
  <si>
    <t>Units Reserved for Homeless</t>
  </si>
  <si>
    <t>Step 1: Units in Excess of 20% Threshold</t>
  </si>
  <si>
    <t>Step 2: Units in Excess Factor</t>
  </si>
  <si>
    <t>Step 3: Multiply Factor by 3 Points</t>
  </si>
  <si>
    <t>Step 4: Project's Score</t>
  </si>
  <si>
    <t>Threshold</t>
  </si>
  <si>
    <t>Excess of Threshold</t>
  </si>
  <si>
    <t>Total Category Points</t>
  </si>
  <si>
    <t>Minimum Category Points for 20% Threshold</t>
  </si>
  <si>
    <t>Score</t>
  </si>
  <si>
    <t>% Large Units</t>
  </si>
  <si>
    <t xml:space="preserve">Nonprofit Ownership </t>
  </si>
  <si>
    <t>&gt; 50%</t>
  </si>
  <si>
    <t>Developer Fee</t>
  </si>
  <si>
    <t>Project has no developer fee</t>
  </si>
  <si>
    <t>Full site control</t>
  </si>
  <si>
    <t>Partial site control</t>
  </si>
  <si>
    <t>Building permit issuance or permit ready letter</t>
  </si>
  <si>
    <t>Total Units</t>
  </si>
  <si>
    <t>Points Possible</t>
  </si>
  <si>
    <t>Project Max Subsidy</t>
  </si>
  <si>
    <t>Subsidy/Unit Rental Min</t>
  </si>
  <si>
    <t>Subsidy/Unit Rental Max</t>
  </si>
  <si>
    <t>Rental Factor</t>
  </si>
  <si>
    <t>Project's Subsidy Request - Low End of Subsidy Range</t>
  </si>
  <si>
    <t>(Project's Subsidy Request - Low End) * Rental Factor</t>
  </si>
  <si>
    <t>Units Targeted to 50% AMI or below</t>
  </si>
  <si>
    <t>Calculate WAAMIT for remaining units</t>
  </si>
  <si>
    <t>Subtract WAAMIT from 80%</t>
  </si>
  <si>
    <t>Multiply by remaining possible points</t>
  </si>
  <si>
    <t>Name of Project</t>
  </si>
  <si>
    <t xml:space="preserve">Non-Income Restricted Units </t>
  </si>
  <si>
    <t>Income Restricted Units</t>
  </si>
  <si>
    <t>Total Units in Project</t>
  </si>
  <si>
    <t>Units Reserved for Special Needs</t>
  </si>
  <si>
    <t>California</t>
  </si>
  <si>
    <t>Arizona</t>
  </si>
  <si>
    <t>Nevada</t>
  </si>
  <si>
    <t>% Total Units at 50% or less</t>
  </si>
  <si>
    <t>Subtract base score from 20 (remaining poss pts)</t>
  </si>
  <si>
    <t>Step 1</t>
  </si>
  <si>
    <t>Step 2</t>
  </si>
  <si>
    <t># of Units</t>
  </si>
  <si>
    <t>Divide remaining poss pts by 30</t>
  </si>
  <si>
    <t>80 minus WAAMIT for units betw 50 &amp; 80%AMI</t>
  </si>
  <si>
    <t>Final Score (base score plus adjustments)</t>
  </si>
  <si>
    <t>Subsidy Request Amount</t>
  </si>
  <si>
    <t>Managers' Units</t>
  </si>
  <si>
    <t>Base Score (multiply row above by .50)</t>
  </si>
  <si>
    <t>Non-Income Restricted Units</t>
  </si>
  <si>
    <t>Project Information</t>
  </si>
  <si>
    <r>
      <t xml:space="preserve">Is this project serving homeless households? 
</t>
    </r>
    <r>
      <rPr>
        <b/>
        <sz val="9"/>
        <color theme="1"/>
        <rFont val="Calibri"/>
        <family val="2"/>
      </rPr>
      <t>Projects that receive points in Special Needs are not eligible to receive points in this category.</t>
    </r>
  </si>
  <si>
    <t>Is this project eligible for native housing points?</t>
  </si>
  <si>
    <t># of Rural Units</t>
  </si>
  <si>
    <t>% of Rural Units</t>
  </si>
  <si>
    <t xml:space="preserve">Project location in rural areas </t>
  </si>
  <si>
    <t>Complete/Select from drop down menu</t>
  </si>
  <si>
    <t>Complete This Section</t>
  </si>
  <si>
    <t>Total Points</t>
  </si>
  <si>
    <r>
      <t xml:space="preserve">Is this project serving special needs households? </t>
    </r>
    <r>
      <rPr>
        <b/>
        <sz val="9"/>
        <rFont val="Calibri"/>
        <family val="2"/>
      </rPr>
      <t>Projects that receive points in Homeless Households are not eligible to receive points in this category.</t>
    </r>
  </si>
  <si>
    <t>Property acquired from a federal agency at any price</t>
  </si>
  <si>
    <t>Land is conveyed at no cost or for a nominal price of $1,000 or less</t>
  </si>
  <si>
    <t>Acquisition Price is &gt; 15% and &lt; or = 20% of FMV</t>
  </si>
  <si>
    <t>Acquisition Price is &gt; 10% and &lt; or = 15% of FMV</t>
  </si>
  <si>
    <t xml:space="preserve">Acquisition Price is &gt; 5% and &lt; = 10% of FMV </t>
  </si>
  <si>
    <t xml:space="preserve">Acquisition Price is &gt; $1,000 and &lt; or = 5% of FMV </t>
  </si>
  <si>
    <t>NA</t>
  </si>
  <si>
    <t>% Reserved for Homeless</t>
  </si>
  <si>
    <t>% Reserved for Special Needs</t>
  </si>
  <si>
    <t>Nonprofit Ownership Interest</t>
  </si>
  <si>
    <t>Donated Property (Max Points: 5)</t>
  </si>
  <si>
    <t>Homeless Households (Max Points: 6)</t>
  </si>
  <si>
    <t>Special Needs (Max Points: 6)</t>
  </si>
  <si>
    <t>Large Units (Max Points: 3)</t>
  </si>
  <si>
    <t>Project units have three bedrooms or more</t>
  </si>
  <si>
    <t># of Units 3 bdrms or more</t>
  </si>
  <si>
    <t>Native Housing (Max Points: 5)</t>
  </si>
  <si>
    <t>Nonprofit Sponsorship (Max Points: 7)</t>
  </si>
  <si>
    <t>Rural (Max Points: 5)</t>
  </si>
  <si>
    <t>Targeting (Max Points: 20)</t>
  </si>
  <si>
    <t>pts if % total units at 50% AMI or less &gt;20%</t>
  </si>
  <si>
    <r>
      <t xml:space="preserve">Subsidy per Unit 
</t>
    </r>
    <r>
      <rPr>
        <b/>
        <sz val="9"/>
        <rFont val="Calibri"/>
        <family val="2"/>
      </rPr>
      <t>Project is ineligible if subsidy per unit is greater than $65,000</t>
    </r>
  </si>
  <si>
    <t>Full Site Control</t>
  </si>
  <si>
    <t>1) Revitalizing Neighborhoods By Optimizing Project Site Use</t>
  </si>
  <si>
    <t>Partial Site Control</t>
  </si>
  <si>
    <t>Units under full site control</t>
  </si>
  <si>
    <t xml:space="preserve">% </t>
  </si>
  <si>
    <t>Units under partial site control</t>
  </si>
  <si>
    <t>Adaptive Reuse</t>
  </si>
  <si>
    <t>Straight Donation ($1,000 or less)</t>
  </si>
  <si>
    <t>Federal Agency</t>
  </si>
  <si>
    <t>Significant Discount</t>
  </si>
  <si>
    <t>Federal Agency Score</t>
  </si>
  <si>
    <t>Significant Discount Score</t>
  </si>
  <si>
    <t>Straight Donation Score</t>
  </si>
  <si>
    <t>2026 AHP Targeted Fund - Rental Project Score Estimate</t>
  </si>
  <si>
    <t>Small Rental Projects</t>
  </si>
  <si>
    <t>Project Readiness (Max Points: 7)</t>
  </si>
  <si>
    <t>Sponsor organization located in Nevada</t>
  </si>
  <si>
    <t>2) Preservation of Existing Affordable Housing</t>
  </si>
  <si>
    <t>Partial - Multiply Factor by 2.5 Points</t>
  </si>
  <si>
    <t>Full - Multiply Factor by 5 Points</t>
  </si>
  <si>
    <t>Community Stability (Max Points: 17)</t>
  </si>
  <si>
    <t>Small Rental Projects (Max Points: 7)</t>
  </si>
  <si>
    <t>Total units in project</t>
  </si>
  <si>
    <t>Subsidy Per Unit (Max Points: 5)</t>
  </si>
  <si>
    <t>Full 5 points - Subsidy in Excess</t>
  </si>
  <si>
    <t>Sponsor receives &lt;20% of total developer fee</t>
  </si>
  <si>
    <t>Sponsor receives = or &gt;20% of total developer fee</t>
  </si>
  <si>
    <t>&lt; or = 20%</t>
  </si>
  <si>
    <t>&gt; 20% and &lt; or = 50%</t>
  </si>
  <si>
    <r>
      <t xml:space="preserve">Construction in Progress 
</t>
    </r>
    <r>
      <rPr>
        <b/>
        <sz val="9"/>
        <color theme="1"/>
        <rFont val="Calibri"/>
        <family val="2"/>
      </rPr>
      <t>Project is not eligible for construction in progress points if units are under partial site control.</t>
    </r>
  </si>
  <si>
    <t>At or below 50%</t>
  </si>
  <si>
    <t>Subtract 20% from above</t>
  </si>
  <si>
    <r>
      <rPr>
        <b/>
        <sz val="11"/>
        <color theme="1"/>
        <rFont val="Calibri"/>
        <family val="2"/>
      </rPr>
      <t xml:space="preserve">Note: </t>
    </r>
    <r>
      <rPr>
        <sz val="11"/>
        <color theme="1"/>
        <rFont val="Calibri"/>
        <family val="2"/>
      </rPr>
      <t>Estimated scores are provided as reference only. The final application score is based on the AHP financial workbook, application form, and Bank staff review. This is a new tool, if you notice any areas that need adjustment, please let us know.</t>
    </r>
  </si>
  <si>
    <t xml:space="preserve">Units Targeted between &gt;50% to &lt;=80% AMI </t>
  </si>
  <si>
    <t>WAAMIT Calc</t>
  </si>
  <si>
    <t>Total Full and Partial Site Control Points</t>
  </si>
  <si>
    <t>Target AMI</t>
  </si>
  <si>
    <t>3) # of Amenities</t>
  </si>
  <si>
    <t>5) Location in Upper-Income Census Tract(s)</t>
  </si>
  <si>
    <t>5) Location in an Opportunity Zone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</si>
</sst>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_(* #,##0.000000_);_(* \(#,##0.000000\);_(* &quot;-&quot;??_);_(@_)"/>
    <numFmt numFmtId="167" formatCode="_(* #,##0.000_);_(* \(#,##0.000\);_(* &quot;-&quot;??_);_(@_)"/>
  </numFmts>
  <fonts count="19" x14ac:knownFonts="1">
    <font>
      <sz val="11"/>
      <color theme="1"/>
      <name val="Aptos Narrow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rgb="FF0070C0"/>
      <name val="Calibri"/>
      <family val="2"/>
    </font>
    <font>
      <b/>
      <sz val="11"/>
      <color rgb="FF0070C0"/>
      <name val="Calibri"/>
      <family val="2"/>
    </font>
    <font>
      <b/>
      <sz val="11"/>
      <color theme="9"/>
      <name val="Calibri"/>
      <family val="2"/>
    </font>
    <font>
      <sz val="11"/>
      <color theme="9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sz val="11"/>
      <color theme="9" tint="-0.249977111117893"/>
      <name val="Calibri"/>
      <family val="2"/>
    </font>
    <font>
      <b/>
      <sz val="11"/>
      <name val="Calibri"/>
      <family val="2"/>
    </font>
    <font>
      <b/>
      <sz val="14"/>
      <color theme="0"/>
      <name val="Calibri"/>
      <family val="2"/>
    </font>
    <font>
      <b/>
      <sz val="9"/>
      <name val="Calibri"/>
      <family val="2"/>
    </font>
    <font>
      <b/>
      <sz val="9"/>
      <color theme="1"/>
      <name val="Calibri"/>
      <family val="2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447D99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114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wrapText="1"/>
    </xf>
    <xf numFmtId="0" fontId="3" fillId="0" borderId="0" xfId="0" applyFont="1"/>
    <xf numFmtId="0" fontId="0" fillId="0" borderId="0" xfId="0" applyBorder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Border="1"/>
    <xf numFmtId="0" fontId="6" fillId="0" borderId="0" xfId="0" applyFont="1" applyBorder="1"/>
    <xf numFmtId="0" fontId="5" fillId="0" borderId="0" xfId="0" applyFont="1" applyAlignment="1">
      <alignment wrapText="1"/>
    </xf>
    <xf numFmtId="0" fontId="5" fillId="0" borderId="0" xfId="0" applyFont="1" applyAlignment="1">
      <alignment horizontal="right"/>
    </xf>
    <xf numFmtId="0" fontId="6" fillId="0" borderId="0" xfId="0" applyFont="1"/>
    <xf numFmtId="9" fontId="5" fillId="0" borderId="0" xfId="1" applyFont="1" applyBorder="1"/>
    <xf numFmtId="0" fontId="1" fillId="0" borderId="0" xfId="0" applyFont="1" applyFill="1"/>
    <xf numFmtId="0" fontId="2" fillId="0" borderId="0" xfId="0" applyFont="1" applyFill="1"/>
    <xf numFmtId="0" fontId="6" fillId="0" borderId="0" xfId="0" applyFont="1" applyFill="1"/>
    <xf numFmtId="0" fontId="7" fillId="0" borderId="0" xfId="0" applyFont="1" applyFill="1" applyAlignment="1">
      <alignment horizontal="left"/>
    </xf>
    <xf numFmtId="0" fontId="7" fillId="0" borderId="0" xfId="0" applyFont="1" applyFill="1" applyBorder="1"/>
    <xf numFmtId="0" fontId="8" fillId="0" borderId="0" xfId="0" applyFont="1" applyFill="1" applyBorder="1"/>
    <xf numFmtId="0" fontId="7" fillId="0" borderId="0" xfId="0" applyFont="1" applyFill="1"/>
    <xf numFmtId="0" fontId="8" fillId="0" borderId="0" xfId="0" applyFont="1"/>
    <xf numFmtId="164" fontId="5" fillId="0" borderId="0" xfId="3" applyNumberFormat="1" applyFont="1"/>
    <xf numFmtId="0" fontId="7" fillId="0" borderId="0" xfId="0" applyFont="1"/>
    <xf numFmtId="0" fontId="10" fillId="0" borderId="0" xfId="0" applyFont="1" applyFill="1"/>
    <xf numFmtId="0" fontId="5" fillId="0" borderId="0" xfId="0" applyFont="1" applyFill="1"/>
    <xf numFmtId="0" fontId="7" fillId="0" borderId="0" xfId="0" applyFont="1" applyBorder="1"/>
    <xf numFmtId="166" fontId="7" fillId="0" borderId="0" xfId="2" applyNumberFormat="1" applyFont="1" applyBorder="1"/>
    <xf numFmtId="43" fontId="7" fillId="0" borderId="0" xfId="0" applyNumberFormat="1" applyFont="1" applyBorder="1"/>
    <xf numFmtId="0" fontId="7" fillId="0" borderId="0" xfId="0" applyFont="1" applyBorder="1" applyAlignment="1">
      <alignment horizontal="left"/>
    </xf>
    <xf numFmtId="43" fontId="7" fillId="0" borderId="0" xfId="0" applyNumberFormat="1" applyFont="1" applyFill="1" applyBorder="1"/>
    <xf numFmtId="0" fontId="8" fillId="0" borderId="0" xfId="0" applyFont="1" applyFill="1" applyBorder="1" applyAlignment="1">
      <alignment horizontal="left"/>
    </xf>
    <xf numFmtId="167" fontId="8" fillId="0" borderId="0" xfId="0" applyNumberFormat="1" applyFont="1" applyFill="1" applyBorder="1"/>
    <xf numFmtId="0" fontId="8" fillId="0" borderId="0" xfId="0" applyFont="1" applyFill="1" applyBorder="1" applyAlignment="1">
      <alignment horizontal="right"/>
    </xf>
    <xf numFmtId="0" fontId="11" fillId="0" borderId="0" xfId="0" applyFont="1" applyBorder="1"/>
    <xf numFmtId="0" fontId="10" fillId="0" borderId="0" xfId="0" applyFont="1" applyBorder="1"/>
    <xf numFmtId="0" fontId="7" fillId="0" borderId="0" xfId="0" applyFont="1" applyAlignment="1">
      <alignment horizontal="left" wrapText="1"/>
    </xf>
    <xf numFmtId="0" fontId="7" fillId="0" borderId="0" xfId="0" applyFont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165" fontId="7" fillId="0" borderId="0" xfId="2" applyNumberFormat="1" applyFont="1" applyBorder="1"/>
    <xf numFmtId="10" fontId="7" fillId="0" borderId="0" xfId="1" applyNumberFormat="1" applyFont="1" applyBorder="1"/>
    <xf numFmtId="2" fontId="7" fillId="0" borderId="0" xfId="0" applyNumberFormat="1" applyFont="1" applyBorder="1"/>
    <xf numFmtId="43" fontId="7" fillId="0" borderId="0" xfId="2" applyNumberFormat="1" applyFont="1" applyBorder="1"/>
    <xf numFmtId="0" fontId="8" fillId="0" borderId="0" xfId="0" applyFont="1" applyBorder="1"/>
    <xf numFmtId="2" fontId="8" fillId="0" borderId="0" xfId="0" applyNumberFormat="1" applyFont="1" applyBorder="1"/>
    <xf numFmtId="0" fontId="9" fillId="0" borderId="0" xfId="0" applyFont="1" applyFill="1"/>
    <xf numFmtId="0" fontId="11" fillId="0" borderId="0" xfId="0" applyFont="1" applyFill="1"/>
    <xf numFmtId="0" fontId="5" fillId="3" borderId="0" xfId="0" applyFont="1" applyFill="1"/>
    <xf numFmtId="0" fontId="6" fillId="3" borderId="0" xfId="0" applyFont="1" applyFill="1" applyAlignment="1">
      <alignment horizontal="left" vertical="center"/>
    </xf>
    <xf numFmtId="0" fontId="6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left" wrapText="1"/>
    </xf>
    <xf numFmtId="0" fontId="11" fillId="0" borderId="0" xfId="0" applyFont="1" applyFill="1" applyBorder="1"/>
    <xf numFmtId="0" fontId="13" fillId="0" borderId="0" xfId="0" applyFont="1"/>
    <xf numFmtId="0" fontId="13" fillId="0" borderId="0" xfId="0" applyFont="1" applyFill="1"/>
    <xf numFmtId="0" fontId="11" fillId="0" borderId="0" xfId="0" applyFont="1"/>
    <xf numFmtId="0" fontId="5" fillId="0" borderId="0" xfId="0" applyFont="1" applyFill="1" applyAlignment="1">
      <alignment wrapText="1"/>
    </xf>
    <xf numFmtId="0" fontId="8" fillId="0" borderId="0" xfId="0" applyFont="1" applyFill="1"/>
    <xf numFmtId="9" fontId="7" fillId="0" borderId="0" xfId="0" applyNumberFormat="1" applyFont="1" applyBorder="1"/>
    <xf numFmtId="0" fontId="5" fillId="0" borderId="0" xfId="0" applyFont="1" applyFill="1" applyBorder="1"/>
    <xf numFmtId="0" fontId="5" fillId="0" borderId="0" xfId="0" applyFont="1" applyAlignment="1">
      <alignment horizontal="center"/>
    </xf>
    <xf numFmtId="0" fontId="6" fillId="0" borderId="0" xfId="0" applyFont="1" applyFill="1" applyAlignment="1">
      <alignment horizontal="left"/>
    </xf>
    <xf numFmtId="0" fontId="12" fillId="0" borderId="0" xfId="0" applyFont="1" applyFill="1" applyBorder="1"/>
    <xf numFmtId="0" fontId="14" fillId="0" borderId="0" xfId="0" applyFont="1" applyFill="1" applyBorder="1"/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left"/>
    </xf>
    <xf numFmtId="10" fontId="1" fillId="0" borderId="0" xfId="1" applyNumberFormat="1" applyFont="1" applyFill="1"/>
    <xf numFmtId="0" fontId="5" fillId="0" borderId="0" xfId="0" applyFont="1" applyFill="1" applyAlignment="1">
      <alignment horizontal="left"/>
    </xf>
    <xf numFmtId="0" fontId="5" fillId="0" borderId="0" xfId="0" applyFont="1" applyFill="1" applyAlignment="1">
      <alignment horizontal="left" wrapText="1"/>
    </xf>
    <xf numFmtId="43" fontId="12" fillId="0" borderId="0" xfId="2" applyFont="1" applyFill="1" applyBorder="1"/>
    <xf numFmtId="0" fontId="6" fillId="0" borderId="0" xfId="0" applyFont="1" applyFill="1" applyBorder="1" applyAlignment="1">
      <alignment horizontal="right"/>
    </xf>
    <xf numFmtId="9" fontId="5" fillId="0" borderId="0" xfId="1" applyFont="1" applyFill="1" applyBorder="1" applyAlignment="1">
      <alignment horizontal="right"/>
    </xf>
    <xf numFmtId="9" fontId="5" fillId="0" borderId="0" xfId="0" applyNumberFormat="1" applyFont="1" applyFill="1" applyBorder="1" applyAlignment="1">
      <alignment horizontal="right" wrapText="1"/>
    </xf>
    <xf numFmtId="0" fontId="6" fillId="0" borderId="0" xfId="0" applyFont="1" applyFill="1" applyBorder="1" applyAlignment="1">
      <alignment horizontal="right" vertical="center"/>
    </xf>
    <xf numFmtId="0" fontId="12" fillId="0" borderId="0" xfId="0" applyFont="1" applyFill="1" applyAlignment="1">
      <alignment horizontal="left" wrapText="1"/>
    </xf>
    <xf numFmtId="0" fontId="0" fillId="0" borderId="0" xfId="0" applyFont="1"/>
    <xf numFmtId="0" fontId="8" fillId="0" borderId="0" xfId="0" applyFont="1" applyAlignment="1">
      <alignment horizontal="right"/>
    </xf>
    <xf numFmtId="0" fontId="8" fillId="0" borderId="0" xfId="0" applyFont="1" applyFill="1" applyAlignment="1">
      <alignment horizontal="right"/>
    </xf>
    <xf numFmtId="10" fontId="5" fillId="0" borderId="0" xfId="1" applyNumberFormat="1" applyFont="1" applyFill="1"/>
    <xf numFmtId="0" fontId="12" fillId="0" borderId="0" xfId="0" applyFont="1" applyFill="1" applyBorder="1" applyAlignment="1">
      <alignment horizontal="right" wrapText="1"/>
    </xf>
    <xf numFmtId="0" fontId="5" fillId="0" borderId="0" xfId="0" applyFont="1" applyFill="1" applyAlignment="1">
      <alignment horizontal="right" wrapText="1"/>
    </xf>
    <xf numFmtId="0" fontId="1" fillId="0" borderId="0" xfId="0" applyFont="1" applyFill="1" applyAlignment="1">
      <alignment horizontal="right"/>
    </xf>
    <xf numFmtId="0" fontId="7" fillId="0" borderId="0" xfId="0" applyFont="1" applyFill="1" applyAlignment="1">
      <alignment horizontal="right"/>
    </xf>
    <xf numFmtId="0" fontId="7" fillId="0" borderId="0" xfId="0" applyFont="1" applyAlignment="1">
      <alignment horizontal="right"/>
    </xf>
    <xf numFmtId="0" fontId="5" fillId="0" borderId="0" xfId="0" applyFont="1" applyFill="1" applyAlignment="1">
      <alignment horizontal="right" vertical="center"/>
    </xf>
    <xf numFmtId="0" fontId="2" fillId="3" borderId="0" xfId="0" applyFont="1" applyFill="1" applyAlignment="1">
      <alignment vertical="center" wrapText="1"/>
    </xf>
    <xf numFmtId="0" fontId="2" fillId="3" borderId="0" xfId="0" applyFont="1" applyFill="1" applyAlignment="1">
      <alignment vertical="center"/>
    </xf>
    <xf numFmtId="0" fontId="6" fillId="3" borderId="0" xfId="0" applyFont="1" applyFill="1" applyAlignment="1">
      <alignment vertical="center"/>
    </xf>
    <xf numFmtId="0" fontId="1" fillId="0" borderId="0" xfId="0" applyFont="1" applyFill="1" applyAlignment="1">
      <alignment horizontal="left" wrapText="1"/>
    </xf>
    <xf numFmtId="1" fontId="6" fillId="0" borderId="0" xfId="0" applyNumberFormat="1" applyFont="1" applyFill="1"/>
    <xf numFmtId="1" fontId="6" fillId="0" borderId="0" xfId="0" applyNumberFormat="1" applyFont="1" applyFill="1" applyAlignment="1">
      <alignment horizontal="right"/>
    </xf>
    <xf numFmtId="2" fontId="6" fillId="0" borderId="0" xfId="0" applyNumberFormat="1" applyFont="1" applyFill="1"/>
    <xf numFmtId="0" fontId="5" fillId="0" borderId="0" xfId="0" applyFont="1" applyBorder="1" applyAlignment="1">
      <alignment wrapText="1"/>
    </xf>
    <xf numFmtId="2" fontId="7" fillId="0" borderId="0" xfId="1" applyNumberFormat="1" applyFont="1" applyBorder="1"/>
    <xf numFmtId="2" fontId="7" fillId="0" borderId="0" xfId="1" applyNumberFormat="1" applyFont="1" applyFill="1" applyBorder="1"/>
    <xf numFmtId="2" fontId="8" fillId="0" borderId="0" xfId="0" applyNumberFormat="1" applyFont="1" applyFill="1" applyBorder="1"/>
    <xf numFmtId="0" fontId="12" fillId="0" borderId="0" xfId="0" applyFont="1"/>
    <xf numFmtId="0" fontId="14" fillId="0" borderId="0" xfId="0" applyFont="1"/>
    <xf numFmtId="0" fontId="11" fillId="4" borderId="0" xfId="0" applyFont="1" applyFill="1"/>
    <xf numFmtId="2" fontId="12" fillId="0" borderId="0" xfId="0" applyNumberFormat="1" applyFont="1" applyFill="1" applyBorder="1"/>
    <xf numFmtId="2" fontId="14" fillId="0" borderId="0" xfId="0" applyNumberFormat="1" applyFont="1" applyFill="1" applyBorder="1"/>
    <xf numFmtId="0" fontId="5" fillId="2" borderId="0" xfId="0" applyFont="1" applyFill="1" applyProtection="1">
      <protection locked="0"/>
    </xf>
    <xf numFmtId="0" fontId="5" fillId="2" borderId="0" xfId="0" applyFont="1" applyFill="1" applyAlignment="1" applyProtection="1">
      <alignment wrapText="1"/>
      <protection locked="0"/>
    </xf>
    <xf numFmtId="0" fontId="1" fillId="2" borderId="0" xfId="0" applyFont="1" applyFill="1" applyProtection="1">
      <protection locked="0"/>
    </xf>
    <xf numFmtId="0" fontId="5" fillId="2" borderId="0" xfId="0" applyFont="1" applyFill="1" applyBorder="1" applyProtection="1">
      <protection locked="0"/>
    </xf>
    <xf numFmtId="9" fontId="5" fillId="2" borderId="0" xfId="1" applyFont="1" applyFill="1" applyBorder="1" applyAlignment="1" applyProtection="1">
      <alignment horizontal="right"/>
      <protection locked="0"/>
    </xf>
    <xf numFmtId="0" fontId="5" fillId="0" borderId="0" xfId="0" applyFont="1" applyAlignment="1">
      <alignment horizontal="left" wrapText="1"/>
    </xf>
    <xf numFmtId="0" fontId="2" fillId="3" borderId="0" xfId="0" applyFont="1" applyFill="1" applyAlignment="1">
      <alignment horizontal="left" vertical="center" wrapText="1"/>
    </xf>
    <xf numFmtId="0" fontId="6" fillId="2" borderId="0" xfId="0" applyFont="1" applyFill="1" applyAlignment="1" applyProtection="1">
      <alignment horizontal="right"/>
      <protection locked="0"/>
    </xf>
    <xf numFmtId="164" fontId="6" fillId="2" borderId="0" xfId="3" applyNumberFormat="1" applyFont="1" applyFill="1" applyAlignment="1" applyProtection="1">
      <alignment horizontal="right"/>
      <protection locked="0"/>
    </xf>
    <xf numFmtId="0" fontId="15" fillId="5" borderId="0" xfId="0" applyFont="1" applyFill="1" applyAlignment="1">
      <alignment horizontal="left" vertical="center"/>
    </xf>
    <xf numFmtId="0" fontId="6" fillId="2" borderId="0" xfId="0" applyFont="1" applyFill="1" applyAlignment="1" applyProtection="1">
      <alignment horizontal="right" wrapText="1"/>
      <protection locked="0"/>
    </xf>
    <xf numFmtId="0" fontId="6" fillId="3" borderId="0" xfId="0" applyFont="1" applyFill="1" applyAlignment="1">
      <alignment horizontal="center" vertical="center"/>
    </xf>
  </cellXfs>
  <cellStyles count="4">
    <cellStyle name="Comma" xfId="2" builtinId="3"/>
    <cellStyle name="Currency" xfId="3" builtinId="4"/>
    <cellStyle name="Normal" xfId="0" builtinId="0"/>
    <cellStyle name="Percent" xfId="1" builtinId="5"/>
  </cellStyles>
  <dxfs count="3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FFFFCC"/>
      <color rgb="FF447D99"/>
      <color rgb="FF556475"/>
      <color rgb="FF8FC975"/>
      <color rgb="FF00369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28576</xdr:colOff>
      <xdr:row>0</xdr:row>
      <xdr:rowOff>47627</xdr:rowOff>
    </xdr:from>
    <xdr:to>
      <xdr:col>1</xdr:col>
      <xdr:colOff>1170411</xdr:colOff>
      <xdr:row>0</xdr:row>
      <xdr:rowOff>533401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C5C2512-AF59-858D-A16D-30A7D251E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6226" y="47627"/>
          <a:ext cx="1141835" cy="4857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371475</xdr:colOff>
      <xdr:row>0</xdr:row>
      <xdr:rowOff>161925</xdr:rowOff>
    </xdr:from>
    <xdr:to>
      <xdr:col>14</xdr:col>
      <xdr:colOff>325035</xdr:colOff>
      <xdr:row>48</xdr:row>
      <xdr:rowOff>96517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AF9B2A4-0A9E-5745-9C30-A64BD86A42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475" y="161925"/>
          <a:ext cx="8487960" cy="9078592"/>
        </a:xfrm>
        <a:prstGeom prst="rect">
          <a:avLst/>
        </a:prstGeom>
      </xdr:spPr>
    </xdr:pic>
    <xdr:clientData/>
  </xdr:twoCellAnchor>
  <xdr:twoCellAnchor editAs="oneCell">
    <xdr:from>
      <xdr:col>0</xdr:col>
      <xdr:colOff>447675</xdr:colOff>
      <xdr:row>48</xdr:row>
      <xdr:rowOff>38100</xdr:rowOff>
    </xdr:from>
    <xdr:to>
      <xdr:col>14</xdr:col>
      <xdr:colOff>267866</xdr:colOff>
      <xdr:row>59</xdr:row>
      <xdr:rowOff>181287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BB15AA7-989C-6888-2F39-B1324F0627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7675" y="9182100"/>
          <a:ext cx="8354591" cy="223868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1339B5-0BFF-4DAC-8FD2-11FEBDA707FB}">
  <dimension ref="A1:U131"/>
  <sheetViews>
    <sheetView tabSelected="1" workbookViewId="0">
      <selection activeCell="B1" sqref="B1"/>
    </sheetView>
  </sheetViews>
  <sheetFormatPr defaultColWidth="8.7265625" defaultRowHeight="14.5" x14ac:dyDescent="0.35"/>
  <cols>
    <col min="1" max="1" width="3.7265625" style="8" customWidth="1"/>
    <col min="2" max="2" width="49" style="8" customWidth="1"/>
    <col min="3" max="3" width="23.36328125" style="8" customWidth="1"/>
    <col min="4" max="4" width="18" style="8" customWidth="1"/>
    <col min="5" max="5" width="33.36328125" style="8" hidden="1" customWidth="1"/>
    <col min="6" max="6" width="8.7265625" style="8"/>
    <col min="7" max="7" width="9.81640625" style="8" bestFit="1" customWidth="1"/>
    <col min="8" max="16384" width="8.7265625" style="8"/>
  </cols>
  <sheetData>
    <row r="1" spans="2:10" ht="46.5" customHeight="1" x14ac:dyDescent="0.35">
      <c r="B1" s="61"/>
      <c r="C1"/>
      <c r="F1" s="54"/>
    </row>
    <row r="2" spans="2:10" ht="18.5" x14ac:dyDescent="0.35">
      <c r="B2" s="111" t="s">
        <v>143</v>
      </c>
      <c r="C2" s="111"/>
      <c r="D2" s="111"/>
      <c r="F2" s="21"/>
    </row>
    <row r="3" spans="2:10" x14ac:dyDescent="0.35">
      <c r="B3" s="13"/>
      <c r="F3" s="24"/>
    </row>
    <row r="4" spans="2:10" x14ac:dyDescent="0.35">
      <c r="B4" s="49" t="s">
        <v>98</v>
      </c>
      <c r="C4" s="113" t="s">
        <v>105</v>
      </c>
      <c r="D4" s="113"/>
      <c r="F4" s="24"/>
    </row>
    <row r="5" spans="2:10" x14ac:dyDescent="0.35">
      <c r="B5" s="62" t="s">
        <v>78</v>
      </c>
      <c r="C5" s="112"/>
      <c r="D5" s="112"/>
      <c r="F5" s="26"/>
    </row>
    <row r="6" spans="2:10" x14ac:dyDescent="0.35">
      <c r="B6" s="62" t="s">
        <v>81</v>
      </c>
      <c r="C6" s="109"/>
      <c r="D6" s="109"/>
    </row>
    <row r="7" spans="2:10" x14ac:dyDescent="0.35">
      <c r="B7" s="62" t="s">
        <v>80</v>
      </c>
      <c r="C7" s="109"/>
      <c r="D7" s="109"/>
    </row>
    <row r="8" spans="2:10" x14ac:dyDescent="0.35">
      <c r="B8" s="62" t="s">
        <v>79</v>
      </c>
      <c r="C8" s="109"/>
      <c r="D8" s="109"/>
      <c r="E8" s="55"/>
      <c r="J8" s="56"/>
    </row>
    <row r="9" spans="2:10" x14ac:dyDescent="0.35">
      <c r="B9" s="62" t="s">
        <v>95</v>
      </c>
      <c r="C9" s="109"/>
      <c r="D9" s="109"/>
      <c r="E9" s="55"/>
    </row>
    <row r="10" spans="2:10" x14ac:dyDescent="0.35">
      <c r="B10" s="62" t="s">
        <v>94</v>
      </c>
      <c r="C10" s="110">
        <v>0</v>
      </c>
      <c r="D10" s="110"/>
    </row>
    <row r="11" spans="2:10" x14ac:dyDescent="0.35">
      <c r="B11" s="12"/>
    </row>
    <row r="12" spans="2:10" x14ac:dyDescent="0.35">
      <c r="B12" s="49" t="s">
        <v>0</v>
      </c>
      <c r="C12" s="50" t="s">
        <v>1</v>
      </c>
      <c r="D12" s="51" t="s">
        <v>2</v>
      </c>
      <c r="E12" s="46"/>
      <c r="F12" s="25"/>
      <c r="G12" s="25"/>
      <c r="H12" s="25"/>
      <c r="I12" s="25"/>
      <c r="J12" s="47"/>
    </row>
    <row r="13" spans="2:10" s="9" customFormat="1" x14ac:dyDescent="0.35">
      <c r="B13" s="63" t="s">
        <v>3</v>
      </c>
      <c r="C13" s="63">
        <v>17</v>
      </c>
      <c r="D13" s="100" cm="1">
        <f t="array" ref="D13">SUMPRODUCT(--D28:D35)</f>
        <v>0</v>
      </c>
      <c r="E13" s="36"/>
      <c r="J13" s="35"/>
    </row>
    <row r="14" spans="2:10" s="9" customFormat="1" x14ac:dyDescent="0.35">
      <c r="B14" s="63" t="s">
        <v>4</v>
      </c>
      <c r="C14" s="63">
        <v>5</v>
      </c>
      <c r="D14" s="100">
        <f>MIN(SUM(D38,D41,D44),5)</f>
        <v>0</v>
      </c>
      <c r="E14" s="36"/>
      <c r="F14" s="36"/>
      <c r="G14" s="36"/>
    </row>
    <row r="15" spans="2:10" s="9" customFormat="1" x14ac:dyDescent="0.35">
      <c r="B15" s="63" t="s">
        <v>5</v>
      </c>
      <c r="C15" s="63">
        <v>6</v>
      </c>
      <c r="D15" s="100">
        <f>IFERROR(D52,0)</f>
        <v>0</v>
      </c>
    </row>
    <row r="16" spans="2:10" s="9" customFormat="1" x14ac:dyDescent="0.35">
      <c r="B16" s="63" t="s">
        <v>11</v>
      </c>
      <c r="C16" s="63">
        <v>6</v>
      </c>
      <c r="D16" s="100">
        <f>IFERROR(D61,0)</f>
        <v>0</v>
      </c>
    </row>
    <row r="17" spans="2:5" s="9" customFormat="1" x14ac:dyDescent="0.35">
      <c r="B17" s="63" t="s">
        <v>6</v>
      </c>
      <c r="C17" s="63">
        <v>3</v>
      </c>
      <c r="D17" s="100">
        <f>D67</f>
        <v>0</v>
      </c>
    </row>
    <row r="18" spans="2:5" s="9" customFormat="1" x14ac:dyDescent="0.35">
      <c r="B18" s="63" t="s">
        <v>7</v>
      </c>
      <c r="C18" s="63">
        <v>5</v>
      </c>
      <c r="D18" s="100">
        <f>D72</f>
        <v>0</v>
      </c>
    </row>
    <row r="19" spans="2:5" s="9" customFormat="1" x14ac:dyDescent="0.35">
      <c r="B19" s="63" t="s">
        <v>8</v>
      </c>
      <c r="C19" s="63">
        <v>7</v>
      </c>
      <c r="D19" s="100">
        <f>SUM(D75,D76,D77)</f>
        <v>0</v>
      </c>
    </row>
    <row r="20" spans="2:5" s="9" customFormat="1" x14ac:dyDescent="0.35">
      <c r="B20" s="63" t="s">
        <v>9</v>
      </c>
      <c r="C20" s="63">
        <v>7</v>
      </c>
      <c r="D20" s="100">
        <f>MIN(SUM(D88+D89),7)</f>
        <v>0</v>
      </c>
    </row>
    <row r="21" spans="2:5" s="9" customFormat="1" x14ac:dyDescent="0.35">
      <c r="B21" s="63" t="s">
        <v>10</v>
      </c>
      <c r="C21" s="63">
        <v>5</v>
      </c>
      <c r="D21" s="100">
        <f>MIN(D92,5)</f>
        <v>0</v>
      </c>
    </row>
    <row r="22" spans="2:5" s="60" customFormat="1" x14ac:dyDescent="0.35">
      <c r="B22" s="63" t="s">
        <v>144</v>
      </c>
      <c r="C22" s="63">
        <v>7</v>
      </c>
      <c r="D22" s="100">
        <f>D98</f>
        <v>0</v>
      </c>
    </row>
    <row r="23" spans="2:5" s="9" customFormat="1" x14ac:dyDescent="0.35">
      <c r="B23" s="63" t="s">
        <v>12</v>
      </c>
      <c r="C23" s="63">
        <v>5</v>
      </c>
      <c r="D23" s="100">
        <f>IFERROR(D101,0)</f>
        <v>0</v>
      </c>
    </row>
    <row r="24" spans="2:5" s="9" customFormat="1" x14ac:dyDescent="0.35">
      <c r="B24" s="63" t="s">
        <v>13</v>
      </c>
      <c r="C24" s="63">
        <v>20</v>
      </c>
      <c r="D24" s="100">
        <f>IFERROR(D108,0)</f>
        <v>0</v>
      </c>
    </row>
    <row r="25" spans="2:5" s="9" customFormat="1" x14ac:dyDescent="0.35">
      <c r="B25" s="64" t="s">
        <v>106</v>
      </c>
      <c r="C25" s="64">
        <f>SUM(C13:C24)</f>
        <v>93</v>
      </c>
      <c r="D25" s="101">
        <f>SUM(D13:D24)</f>
        <v>0</v>
      </c>
      <c r="E25" s="35"/>
    </row>
    <row r="26" spans="2:5" s="9" customFormat="1" x14ac:dyDescent="0.35"/>
    <row r="27" spans="2:5" ht="29" x14ac:dyDescent="0.35">
      <c r="B27" s="49" t="s">
        <v>150</v>
      </c>
      <c r="C27" s="51" t="s">
        <v>26</v>
      </c>
      <c r="D27" s="51" t="s">
        <v>2</v>
      </c>
    </row>
    <row r="28" spans="2:5" ht="29" x14ac:dyDescent="0.35">
      <c r="B28" s="65" t="s">
        <v>131</v>
      </c>
      <c r="C28" s="102"/>
      <c r="D28" s="90">
        <f>IF(OR(C28="none", C28=""), 0, 5)</f>
        <v>0</v>
      </c>
    </row>
    <row r="29" spans="2:5" x14ac:dyDescent="0.35">
      <c r="B29" s="65" t="s">
        <v>147</v>
      </c>
      <c r="C29" s="102"/>
      <c r="D29" s="90">
        <f>IF(C29="applicable", 2, 0)</f>
        <v>0</v>
      </c>
    </row>
    <row r="30" spans="2:5" x14ac:dyDescent="0.35">
      <c r="B30" s="65" t="s">
        <v>23</v>
      </c>
      <c r="C30" s="102"/>
      <c r="D30" s="91" t="str" cm="1">
        <f t="array" ref="D30">_xlfn.IFS(C30=1,"0.5", C30=2,"1", C30=3,"1.5",C30=4,"2", C30=0,"0")</f>
        <v>0</v>
      </c>
    </row>
    <row r="31" spans="2:5" x14ac:dyDescent="0.35">
      <c r="B31" s="65" t="s">
        <v>167</v>
      </c>
      <c r="C31" s="102"/>
      <c r="D31" s="91" t="str" cm="1">
        <f t="array" ref="D31">_xlfn.IFS(C31=1,"0.5", C31=2,"1", C31=3,"1.5",C31=4,"2", C31=0,"0")</f>
        <v>0</v>
      </c>
    </row>
    <row r="32" spans="2:5" x14ac:dyDescent="0.35">
      <c r="B32" s="65" t="s">
        <v>24</v>
      </c>
      <c r="C32" s="103"/>
      <c r="D32" s="91" t="str" cm="1">
        <f t="array" ref="D32">_xlfn.IFS(C32="", "0", C32=Sheet2!D3, "1", C32=Sheet2!D4, "1", C32=Sheet2!D5, "1", C32=Sheet2!D6, "1", C32=Sheet2!D7, "1", C32=Sheet2!D8, "2", C32=Sheet2!D9, "2", C32=Sheet2!D10, "2", C32=Sheet2!D11, "2", C32=Sheet2!D12, "2", C32=Sheet2!D13, "2", C32=Sheet2!D14, "3", C32=Sheet2!D15, "3", C32=Sheet2!D16, "3", C32=Sheet2!D17, "3", C32=Sheet2!D18, "3", C32=Sheet2!D19, "3", C32=Sheet2!D20, "3", C32=Sheet2!D21, "0")</f>
        <v>0</v>
      </c>
    </row>
    <row r="33" spans="2:17" x14ac:dyDescent="0.35">
      <c r="B33" s="65" t="s">
        <v>168</v>
      </c>
      <c r="C33" s="102"/>
      <c r="D33" s="90">
        <f>IF(C33="Yes", 1, 0)</f>
        <v>0</v>
      </c>
      <c r="J33" s="56"/>
    </row>
    <row r="34" spans="2:17" x14ac:dyDescent="0.35">
      <c r="B34" s="89" t="s">
        <v>169</v>
      </c>
      <c r="C34" s="103"/>
      <c r="D34" s="90">
        <f>IF(C34="Yes", 1, 0)</f>
        <v>0</v>
      </c>
    </row>
    <row r="35" spans="2:17" x14ac:dyDescent="0.35">
      <c r="B35" s="65" t="s">
        <v>16</v>
      </c>
      <c r="C35" s="103"/>
      <c r="D35" s="90">
        <f>IF(OR(C35="displacement with no mitigation", C35=""), 0, 1)</f>
        <v>0</v>
      </c>
      <c r="E35" s="24"/>
    </row>
    <row r="36" spans="2:17" x14ac:dyDescent="0.35">
      <c r="D36" s="13"/>
    </row>
    <row r="37" spans="2:17" ht="29" x14ac:dyDescent="0.35">
      <c r="B37" s="49" t="s">
        <v>118</v>
      </c>
      <c r="C37" s="51" t="s">
        <v>104</v>
      </c>
      <c r="D37" s="51" t="s">
        <v>2</v>
      </c>
    </row>
    <row r="38" spans="2:17" x14ac:dyDescent="0.35">
      <c r="B38" s="8" t="s">
        <v>137</v>
      </c>
      <c r="C38" s="103"/>
      <c r="D38" s="17">
        <f>IFERROR(IF(C40&gt;=20%,C47*C40,0),0)</f>
        <v>0</v>
      </c>
      <c r="F38" s="25"/>
      <c r="M38" s="54"/>
      <c r="Q38" s="56"/>
    </row>
    <row r="39" spans="2:17" x14ac:dyDescent="0.35">
      <c r="B39" s="85" t="s">
        <v>90</v>
      </c>
      <c r="C39" s="103"/>
      <c r="D39" s="17"/>
      <c r="F39" s="25"/>
      <c r="M39" s="54"/>
    </row>
    <row r="40" spans="2:17" x14ac:dyDescent="0.35">
      <c r="B40" s="82" t="s">
        <v>134</v>
      </c>
      <c r="C40" s="79">
        <f>IFERROR(C39/C6,0)</f>
        <v>0</v>
      </c>
      <c r="D40" s="13"/>
    </row>
    <row r="41" spans="2:17" x14ac:dyDescent="0.35">
      <c r="B41" s="8" t="s">
        <v>138</v>
      </c>
      <c r="C41" s="103"/>
      <c r="D41" s="17">
        <f>IFERROR(IF(C43&gt;=20%,C48*C43,0),0)</f>
        <v>0</v>
      </c>
      <c r="F41" s="25"/>
      <c r="M41" s="54"/>
      <c r="Q41" s="56"/>
    </row>
    <row r="42" spans="2:17" x14ac:dyDescent="0.35">
      <c r="B42" s="85" t="s">
        <v>90</v>
      </c>
      <c r="C42" s="103"/>
      <c r="D42" s="17"/>
      <c r="F42" s="25"/>
      <c r="M42" s="54"/>
    </row>
    <row r="43" spans="2:17" x14ac:dyDescent="0.35">
      <c r="B43" s="82" t="s">
        <v>134</v>
      </c>
      <c r="C43" s="79">
        <f>IFERROR(C42/C6,0)</f>
        <v>0</v>
      </c>
      <c r="D43" s="13"/>
    </row>
    <row r="44" spans="2:17" x14ac:dyDescent="0.35">
      <c r="B44" s="8" t="s">
        <v>139</v>
      </c>
      <c r="C44" s="103"/>
      <c r="D44" s="17">
        <f>IFERROR(IF(C46&gt;=20%,C49*C46,0),0)</f>
        <v>0</v>
      </c>
      <c r="F44" s="25"/>
      <c r="M44" s="54"/>
      <c r="Q44" s="56"/>
    </row>
    <row r="45" spans="2:17" x14ac:dyDescent="0.35">
      <c r="B45" s="85" t="s">
        <v>90</v>
      </c>
      <c r="C45" s="103"/>
      <c r="D45" s="17"/>
      <c r="F45" s="25"/>
      <c r="M45" s="54"/>
    </row>
    <row r="46" spans="2:17" x14ac:dyDescent="0.35">
      <c r="B46" s="82" t="s">
        <v>134</v>
      </c>
      <c r="C46" s="79">
        <f>IFERROR(C45/C6,0)</f>
        <v>0</v>
      </c>
      <c r="D46" s="13"/>
    </row>
    <row r="47" spans="2:17" hidden="1" x14ac:dyDescent="0.35">
      <c r="B47" s="83" t="s">
        <v>142</v>
      </c>
      <c r="C47" s="58" cm="1">
        <f t="array" ref="C47">_xlfn.IFS(C38="", 0, C38="NA", 0, C38=Sheet2!A40, 5)</f>
        <v>0</v>
      </c>
      <c r="D47" s="13"/>
    </row>
    <row r="48" spans="2:17" hidden="1" x14ac:dyDescent="0.35">
      <c r="B48" s="83" t="s">
        <v>140</v>
      </c>
      <c r="C48" s="58" cm="1">
        <f t="array" ref="C48">_xlfn.IFS(C41="", 0, C41="NA", 0, C41=Sheet2!A43, 1)</f>
        <v>0</v>
      </c>
      <c r="D48" s="13"/>
    </row>
    <row r="49" spans="2:21" hidden="1" x14ac:dyDescent="0.35">
      <c r="B49" s="84" t="s">
        <v>141</v>
      </c>
      <c r="C49" s="58" cm="1">
        <f t="array" ref="C49">_xlfn.IFS(C44="",0,C44="NA",0,C44=Sheet2!A46,1,C44=Sheet2!A47,2,C44=Sheet2!A48,3,C44=Sheet2!A49,4)</f>
        <v>0</v>
      </c>
      <c r="D49" s="13"/>
      <c r="F49" s="24"/>
    </row>
    <row r="50" spans="2:21" x14ac:dyDescent="0.35">
      <c r="B50" s="1"/>
      <c r="D50" s="13"/>
    </row>
    <row r="51" spans="2:21" ht="29" x14ac:dyDescent="0.35">
      <c r="B51" s="87" t="s">
        <v>119</v>
      </c>
      <c r="C51" s="51" t="s">
        <v>104</v>
      </c>
      <c r="D51" s="51" t="s">
        <v>2</v>
      </c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</row>
    <row r="52" spans="2:21" ht="39" x14ac:dyDescent="0.35">
      <c r="B52" s="57" t="s">
        <v>99</v>
      </c>
      <c r="C52" s="102"/>
      <c r="D52" s="17">
        <f>IFERROR(IF(AND(C52="yes", C54&gt;=20%), C58, 0),0)</f>
        <v>0</v>
      </c>
      <c r="F52" s="55"/>
      <c r="G52" s="55"/>
      <c r="H52" s="55"/>
      <c r="I52" s="55"/>
      <c r="J52" s="55"/>
      <c r="K52" s="54"/>
      <c r="L52" s="54"/>
      <c r="M52" s="54"/>
      <c r="N52" s="54"/>
      <c r="O52" s="54"/>
      <c r="P52" s="54"/>
      <c r="Q52" s="56"/>
    </row>
    <row r="53" spans="2:21" x14ac:dyDescent="0.35">
      <c r="B53" s="66" t="s">
        <v>48</v>
      </c>
      <c r="C53" s="102"/>
      <c r="D53" s="17"/>
      <c r="F53" s="55"/>
      <c r="G53" s="55"/>
      <c r="H53" s="55"/>
      <c r="I53" s="55"/>
      <c r="J53" s="55"/>
      <c r="K53" s="54"/>
      <c r="L53" s="54"/>
      <c r="M53" s="54"/>
      <c r="N53" s="54"/>
      <c r="O53" s="54"/>
      <c r="P53" s="54"/>
    </row>
    <row r="54" spans="2:21" x14ac:dyDescent="0.35">
      <c r="B54" s="66" t="s">
        <v>115</v>
      </c>
      <c r="C54" s="79">
        <f>IFERROR(C53/(C6-C9),0)</f>
        <v>0</v>
      </c>
      <c r="D54" s="17"/>
      <c r="F54" s="55"/>
      <c r="G54" s="54"/>
      <c r="H54" s="54"/>
      <c r="I54" s="54"/>
      <c r="J54" s="54"/>
      <c r="K54" s="54"/>
      <c r="L54" s="54"/>
      <c r="M54" s="54"/>
      <c r="N54" s="54"/>
      <c r="O54" s="54"/>
      <c r="P54" s="54"/>
      <c r="U54" s="56"/>
    </row>
    <row r="55" spans="2:21" hidden="1" x14ac:dyDescent="0.35">
      <c r="B55" s="18" t="s">
        <v>49</v>
      </c>
      <c r="C55" s="19">
        <f>C53-((C6-C9)*Sheet2!B27)</f>
        <v>0</v>
      </c>
      <c r="D55" s="17"/>
      <c r="E55" s="26"/>
      <c r="F55" s="21"/>
    </row>
    <row r="56" spans="2:21" hidden="1" x14ac:dyDescent="0.35">
      <c r="B56" s="18" t="s">
        <v>50</v>
      </c>
      <c r="C56" s="19">
        <f>IFERROR(C55/((C6-C9)*Sheet2!B28),0)</f>
        <v>0</v>
      </c>
      <c r="D56" s="17"/>
      <c r="E56" s="26"/>
      <c r="F56" s="26"/>
    </row>
    <row r="57" spans="2:21" hidden="1" x14ac:dyDescent="0.35">
      <c r="B57" s="18" t="s">
        <v>51</v>
      </c>
      <c r="C57" s="19">
        <f>C56*Sheet2!B30</f>
        <v>0</v>
      </c>
      <c r="D57" s="16"/>
      <c r="E57" s="15"/>
      <c r="F57" s="26"/>
    </row>
    <row r="58" spans="2:21" hidden="1" x14ac:dyDescent="0.35">
      <c r="B58" s="32" t="s">
        <v>52</v>
      </c>
      <c r="C58" s="34">
        <f>C57+Sheet2!B30</f>
        <v>3</v>
      </c>
      <c r="D58" s="16"/>
      <c r="E58" s="15"/>
      <c r="F58" s="26"/>
    </row>
    <row r="59" spans="2:21" x14ac:dyDescent="0.35">
      <c r="B59" s="7"/>
      <c r="C59" s="10"/>
      <c r="D59" s="2"/>
      <c r="E59" s="1"/>
    </row>
    <row r="60" spans="2:21" ht="29" x14ac:dyDescent="0.35">
      <c r="B60" s="86" t="s">
        <v>120</v>
      </c>
      <c r="C60" s="51" t="s">
        <v>104</v>
      </c>
      <c r="D60" s="51" t="s">
        <v>2</v>
      </c>
      <c r="E60" s="1"/>
    </row>
    <row r="61" spans="2:21" ht="39" x14ac:dyDescent="0.35">
      <c r="B61" s="75" t="s">
        <v>107</v>
      </c>
      <c r="C61" s="102"/>
      <c r="D61" s="17">
        <f>IFERROR(IF(AND(C54&lt;=20%, C63&gt;=20%), C64, 0),0)</f>
        <v>0</v>
      </c>
      <c r="E61" s="1"/>
      <c r="F61" s="25"/>
      <c r="G61" s="26"/>
      <c r="H61" s="26"/>
      <c r="I61" s="26"/>
      <c r="J61" s="26"/>
      <c r="K61" s="26"/>
      <c r="L61" s="26"/>
      <c r="M61" s="47"/>
      <c r="N61" s="26"/>
    </row>
    <row r="62" spans="2:21" x14ac:dyDescent="0.35">
      <c r="B62" s="66" t="s">
        <v>82</v>
      </c>
      <c r="C62" s="104"/>
      <c r="D62" s="2"/>
      <c r="E62" s="1"/>
      <c r="F62" s="25"/>
    </row>
    <row r="63" spans="2:21" x14ac:dyDescent="0.35">
      <c r="B63" s="66" t="s">
        <v>116</v>
      </c>
      <c r="C63" s="67">
        <f>IFERROR(C62/(C6-C9),0)</f>
        <v>0</v>
      </c>
      <c r="D63" s="2"/>
      <c r="E63" s="1"/>
      <c r="F63" s="55"/>
      <c r="G63" s="54"/>
      <c r="H63" s="54"/>
      <c r="I63" s="54"/>
      <c r="J63" s="54"/>
      <c r="K63" s="54"/>
      <c r="U63" s="56"/>
    </row>
    <row r="64" spans="2:21" hidden="1" x14ac:dyDescent="0.35">
      <c r="B64" s="78" t="s">
        <v>57</v>
      </c>
      <c r="C64" s="58">
        <f>IFERROR(C62/(C6-C9)*6,0)</f>
        <v>0</v>
      </c>
      <c r="D64" s="16"/>
      <c r="E64" s="15"/>
      <c r="F64" s="21"/>
    </row>
    <row r="65" spans="2:11" x14ac:dyDescent="0.35">
      <c r="B65" s="6"/>
      <c r="C65" s="1"/>
      <c r="D65" s="2"/>
      <c r="E65" s="1"/>
    </row>
    <row r="66" spans="2:11" ht="29" x14ac:dyDescent="0.35">
      <c r="B66" s="87" t="s">
        <v>121</v>
      </c>
      <c r="C66" s="51" t="s">
        <v>104</v>
      </c>
      <c r="D66" s="51" t="s">
        <v>2</v>
      </c>
      <c r="E66" s="1"/>
      <c r="F66" s="47"/>
    </row>
    <row r="67" spans="2:11" x14ac:dyDescent="0.35">
      <c r="B67" s="8" t="s">
        <v>122</v>
      </c>
      <c r="C67" s="104"/>
      <c r="D67" s="17" cm="1">
        <f t="array" ref="D67">_xlfn.IFS(C69&lt;20%, 0, C69="", 0, C69&gt;=20%, 3)</f>
        <v>0</v>
      </c>
      <c r="F67" s="25"/>
    </row>
    <row r="68" spans="2:11" x14ac:dyDescent="0.35">
      <c r="B68" s="66" t="s">
        <v>123</v>
      </c>
      <c r="C68" s="104"/>
      <c r="D68" s="16"/>
      <c r="E68" s="1"/>
      <c r="F68" s="47"/>
      <c r="K68" s="56"/>
    </row>
    <row r="69" spans="2:11" x14ac:dyDescent="0.35">
      <c r="B69" s="66" t="s">
        <v>58</v>
      </c>
      <c r="C69" s="67" t="str">
        <f>IF(C6=0, "", C68/C6)</f>
        <v/>
      </c>
      <c r="D69" s="16"/>
      <c r="E69" s="1"/>
    </row>
    <row r="70" spans="2:11" x14ac:dyDescent="0.35">
      <c r="B70" s="6"/>
      <c r="C70" s="1"/>
      <c r="D70" s="16"/>
      <c r="E70" s="1"/>
    </row>
    <row r="71" spans="2:11" ht="29" x14ac:dyDescent="0.35">
      <c r="B71" s="88" t="s">
        <v>124</v>
      </c>
      <c r="C71" s="51" t="s">
        <v>26</v>
      </c>
      <c r="D71" s="51" t="s">
        <v>2</v>
      </c>
      <c r="E71" s="1"/>
    </row>
    <row r="72" spans="2:11" x14ac:dyDescent="0.35">
      <c r="B72" s="8" t="s">
        <v>100</v>
      </c>
      <c r="C72" s="102"/>
      <c r="D72" s="17">
        <f t="shared" ref="D72" si="0">IF(C72="yes", 5, 0)</f>
        <v>0</v>
      </c>
    </row>
    <row r="73" spans="2:11" x14ac:dyDescent="0.35">
      <c r="B73" s="13"/>
      <c r="D73" s="17"/>
    </row>
    <row r="74" spans="2:11" ht="29" x14ac:dyDescent="0.35">
      <c r="B74" s="88" t="s">
        <v>125</v>
      </c>
      <c r="C74" s="51" t="s">
        <v>26</v>
      </c>
      <c r="D74" s="51" t="s">
        <v>2</v>
      </c>
    </row>
    <row r="75" spans="2:11" x14ac:dyDescent="0.35">
      <c r="B75" s="8" t="s">
        <v>117</v>
      </c>
      <c r="C75" s="103"/>
      <c r="D75" s="17" cm="1">
        <f t="array" ref="D75">_xlfn.IFS(C75="", 0, C75=Sheet2!A33, 0, C75=Sheet2!A34, Sheet2!B34, C75=Sheet2!A35, Sheet2!B35)</f>
        <v>0</v>
      </c>
      <c r="J75" s="56"/>
    </row>
    <row r="76" spans="2:11" x14ac:dyDescent="0.35">
      <c r="B76" s="68" t="s">
        <v>61</v>
      </c>
      <c r="C76" s="103"/>
      <c r="D76" s="17" cm="1">
        <f t="array" ref="D76">_xlfn.IFS(C76="", 0, C76=Sheet2!D33, 0, C76=Sheet2!D34, Sheet2!E34, C76=Sheet2!D35, Sheet2!E35)</f>
        <v>0</v>
      </c>
      <c r="J76" s="56"/>
    </row>
    <row r="77" spans="2:11" x14ac:dyDescent="0.35">
      <c r="B77" s="68" t="s">
        <v>146</v>
      </c>
      <c r="C77" s="103"/>
      <c r="D77" s="17">
        <f>IF(C77="yes", 2, 0)</f>
        <v>0</v>
      </c>
    </row>
    <row r="78" spans="2:11" x14ac:dyDescent="0.35">
      <c r="B78" s="13"/>
      <c r="D78" s="17"/>
    </row>
    <row r="79" spans="2:11" ht="29" x14ac:dyDescent="0.35">
      <c r="B79" s="88" t="s">
        <v>145</v>
      </c>
      <c r="C79" s="51" t="s">
        <v>104</v>
      </c>
      <c r="D79" s="51" t="s">
        <v>2</v>
      </c>
    </row>
    <row r="80" spans="2:11" x14ac:dyDescent="0.35">
      <c r="B80" s="8" t="s">
        <v>130</v>
      </c>
      <c r="C80" s="103"/>
      <c r="D80" s="17"/>
      <c r="E80" s="26"/>
      <c r="F80" s="25"/>
      <c r="J80" s="56"/>
    </row>
    <row r="81" spans="2:17" x14ac:dyDescent="0.35">
      <c r="B81" s="81" t="s">
        <v>133</v>
      </c>
      <c r="C81" s="102"/>
      <c r="F81" s="47"/>
    </row>
    <row r="82" spans="2:17" x14ac:dyDescent="0.35">
      <c r="B82" s="81" t="s">
        <v>134</v>
      </c>
      <c r="C82" s="79">
        <f>IFERROR(C81/C6,0)</f>
        <v>0</v>
      </c>
      <c r="D82" s="26"/>
    </row>
    <row r="83" spans="2:17" x14ac:dyDescent="0.35">
      <c r="B83" s="69" t="s">
        <v>132</v>
      </c>
      <c r="C83" s="103"/>
      <c r="D83" s="17"/>
    </row>
    <row r="84" spans="2:17" x14ac:dyDescent="0.35">
      <c r="B84" s="81" t="s">
        <v>135</v>
      </c>
      <c r="C84" s="102"/>
      <c r="D84" s="26"/>
      <c r="F84" s="47"/>
    </row>
    <row r="85" spans="2:17" x14ac:dyDescent="0.35">
      <c r="B85" s="81" t="s">
        <v>134</v>
      </c>
      <c r="C85" s="79">
        <f>IFERROR(C84/C6,0)</f>
        <v>0</v>
      </c>
      <c r="D85" s="26"/>
    </row>
    <row r="86" spans="2:17" hidden="1" x14ac:dyDescent="0.35">
      <c r="B86" s="37" t="s">
        <v>149</v>
      </c>
      <c r="C86" s="22">
        <f>IF(C80="yes",C81/C6*5,0)</f>
        <v>0</v>
      </c>
      <c r="D86" s="17"/>
      <c r="F86" s="24"/>
    </row>
    <row r="87" spans="2:17" hidden="1" x14ac:dyDescent="0.35">
      <c r="B87" s="52" t="s">
        <v>148</v>
      </c>
      <c r="C87" s="22">
        <f>IF(C83="yes",C84/C6*2.5,0)</f>
        <v>0</v>
      </c>
      <c r="D87" s="17"/>
      <c r="E87" s="56"/>
    </row>
    <row r="88" spans="2:17" x14ac:dyDescent="0.35">
      <c r="B88" s="75" t="s">
        <v>165</v>
      </c>
      <c r="C88" s="97"/>
      <c r="D88" s="98">
        <f>MIN(SUM(C86:C87),5)</f>
        <v>0</v>
      </c>
      <c r="E88" s="56"/>
    </row>
    <row r="89" spans="2:17" ht="39" x14ac:dyDescent="0.35">
      <c r="B89" s="69" t="s">
        <v>159</v>
      </c>
      <c r="C89" s="102"/>
      <c r="D89" s="17">
        <f>IF(AND(C89="Yes", OR(C83="No", C83="")),2,0)</f>
        <v>0</v>
      </c>
      <c r="F89" s="99"/>
      <c r="O89" s="56"/>
      <c r="Q89" s="56"/>
    </row>
    <row r="90" spans="2:17" x14ac:dyDescent="0.35">
      <c r="D90" s="17"/>
    </row>
    <row r="91" spans="2:17" ht="29" x14ac:dyDescent="0.35">
      <c r="B91" s="88" t="s">
        <v>126</v>
      </c>
      <c r="C91" s="51" t="s">
        <v>104</v>
      </c>
      <c r="D91" s="51" t="s">
        <v>2</v>
      </c>
    </row>
    <row r="92" spans="2:17" x14ac:dyDescent="0.35">
      <c r="B92" s="8" t="s">
        <v>103</v>
      </c>
      <c r="C92" s="102"/>
      <c r="D92" s="13" cm="1">
        <f t="array" ref="D92">IFERROR(_xlfn.IFS(C94&lt;20%, 0, C94&gt;=20%, C95*C94),0)</f>
        <v>0</v>
      </c>
    </row>
    <row r="93" spans="2:17" x14ac:dyDescent="0.35">
      <c r="B93" s="8" t="s">
        <v>101</v>
      </c>
      <c r="C93" s="102"/>
      <c r="D93" s="17"/>
    </row>
    <row r="94" spans="2:17" x14ac:dyDescent="0.35">
      <c r="B94" s="8" t="s">
        <v>102</v>
      </c>
      <c r="C94" s="79">
        <f>IFERROR(C93/C6,0)</f>
        <v>0</v>
      </c>
      <c r="D94" s="17"/>
    </row>
    <row r="95" spans="2:17" hidden="1" x14ac:dyDescent="0.35">
      <c r="B95" s="77" t="s">
        <v>57</v>
      </c>
      <c r="C95" s="58">
        <f>IF(C92="yes", 5, 0)</f>
        <v>0</v>
      </c>
      <c r="D95" s="17"/>
    </row>
    <row r="96" spans="2:17" x14ac:dyDescent="0.35">
      <c r="B96" s="13"/>
      <c r="D96" s="13"/>
    </row>
    <row r="97" spans="2:18" x14ac:dyDescent="0.35">
      <c r="B97" s="108" t="s">
        <v>151</v>
      </c>
      <c r="C97" s="108"/>
      <c r="D97" s="51" t="s">
        <v>2</v>
      </c>
      <c r="E97" s="1"/>
    </row>
    <row r="98" spans="2:18" x14ac:dyDescent="0.35">
      <c r="B98" s="8" t="s">
        <v>152</v>
      </c>
      <c r="C98" s="26">
        <f>C6</f>
        <v>0</v>
      </c>
      <c r="D98" s="17">
        <f>IF(C98&lt;=0,0,IF(C98&gt;25,0,7))</f>
        <v>0</v>
      </c>
      <c r="E98" s="1"/>
      <c r="F98" s="25"/>
    </row>
    <row r="99" spans="2:18" x14ac:dyDescent="0.35">
      <c r="B99" s="6"/>
      <c r="C99" s="1"/>
      <c r="D99" s="16"/>
      <c r="E99" s="1"/>
      <c r="F99" s="47"/>
    </row>
    <row r="100" spans="2:18" x14ac:dyDescent="0.35">
      <c r="B100" s="88" t="s">
        <v>153</v>
      </c>
      <c r="C100" s="48"/>
      <c r="D100" s="51" t="s">
        <v>2</v>
      </c>
      <c r="F100" s="25"/>
      <c r="R100" s="56"/>
    </row>
    <row r="101" spans="2:18" s="9" customFormat="1" ht="27" x14ac:dyDescent="0.35">
      <c r="B101" s="80" t="s">
        <v>129</v>
      </c>
      <c r="C101" s="70">
        <f>IFERROR(C10/C7,0)</f>
        <v>0</v>
      </c>
      <c r="D101" s="92">
        <f>IF(C101=0,0,C105)</f>
        <v>0</v>
      </c>
      <c r="F101" s="53"/>
      <c r="G101" s="35"/>
    </row>
    <row r="102" spans="2:18" s="9" customFormat="1" hidden="1" x14ac:dyDescent="0.35">
      <c r="B102" s="30" t="s">
        <v>71</v>
      </c>
      <c r="C102" s="28">
        <f>Sheet2!A59/(Sheet2!D59-Sheet2!C59)</f>
        <v>1.4285714285714287E-4</v>
      </c>
      <c r="F102" s="27"/>
    </row>
    <row r="103" spans="2:18" s="9" customFormat="1" hidden="1" x14ac:dyDescent="0.35">
      <c r="B103" s="38" t="s">
        <v>72</v>
      </c>
      <c r="C103" s="29">
        <f>IF(C101-Sheet2!C59&lt;0,0,C101-Sheet2!C59)</f>
        <v>0</v>
      </c>
    </row>
    <row r="104" spans="2:18" s="9" customFormat="1" hidden="1" x14ac:dyDescent="0.35">
      <c r="B104" s="39" t="s">
        <v>73</v>
      </c>
      <c r="C104" s="31">
        <f>C103*C102</f>
        <v>0</v>
      </c>
    </row>
    <row r="105" spans="2:18" s="9" customFormat="1" hidden="1" x14ac:dyDescent="0.35">
      <c r="B105" s="32" t="s">
        <v>154</v>
      </c>
      <c r="C105" s="33">
        <f>IF(Sheet2!A59-C104&lt;0,0,Sheet2!A59-C104)</f>
        <v>5</v>
      </c>
    </row>
    <row r="107" spans="2:18" x14ac:dyDescent="0.35">
      <c r="B107" s="88" t="s">
        <v>127</v>
      </c>
      <c r="C107" s="48"/>
      <c r="D107" s="51" t="s">
        <v>2</v>
      </c>
      <c r="F107" s="25"/>
      <c r="R107" s="56"/>
    </row>
    <row r="108" spans="2:18" s="9" customFormat="1" x14ac:dyDescent="0.35">
      <c r="B108" s="71" t="s">
        <v>166</v>
      </c>
      <c r="C108" s="74" t="s">
        <v>90</v>
      </c>
      <c r="D108" s="92">
        <f>IFERROR(C128,0)</f>
        <v>0</v>
      </c>
      <c r="E108" s="27" t="s">
        <v>164</v>
      </c>
    </row>
    <row r="109" spans="2:18" s="9" customFormat="1" x14ac:dyDescent="0.35">
      <c r="B109" s="72" t="s">
        <v>160</v>
      </c>
      <c r="C109" s="105"/>
      <c r="E109" s="95"/>
      <c r="F109" s="60"/>
    </row>
    <row r="110" spans="2:18" s="9" customFormat="1" x14ac:dyDescent="0.35">
      <c r="B110" s="106">
        <v>0.6</v>
      </c>
      <c r="C110" s="105"/>
      <c r="E110" s="95">
        <f>IF(B110&gt;0.5,C110*B110,0)</f>
        <v>0</v>
      </c>
      <c r="F110" s="60"/>
    </row>
    <row r="111" spans="2:18" s="9" customFormat="1" x14ac:dyDescent="0.35">
      <c r="B111" s="106">
        <v>0.7</v>
      </c>
      <c r="C111" s="105"/>
      <c r="E111" s="95">
        <f t="shared" ref="E111:E113" si="1">IF(B111&gt;0.5,C111*B111,0)</f>
        <v>0</v>
      </c>
      <c r="F111" s="60"/>
    </row>
    <row r="112" spans="2:18" s="9" customFormat="1" x14ac:dyDescent="0.35">
      <c r="B112" s="106">
        <v>0.8</v>
      </c>
      <c r="C112" s="105"/>
      <c r="E112" s="95">
        <f t="shared" si="1"/>
        <v>0</v>
      </c>
      <c r="F112" s="60"/>
    </row>
    <row r="113" spans="1:6" s="9" customFormat="1" x14ac:dyDescent="0.35">
      <c r="B113" s="106"/>
      <c r="C113" s="105"/>
      <c r="E113" s="95">
        <f t="shared" si="1"/>
        <v>0</v>
      </c>
      <c r="F113" s="60"/>
    </row>
    <row r="114" spans="1:6" s="9" customFormat="1" x14ac:dyDescent="0.35">
      <c r="B114" s="73" t="s">
        <v>97</v>
      </c>
      <c r="C114" s="105"/>
      <c r="E114" s="41"/>
    </row>
    <row r="115" spans="1:6" s="9" customFormat="1" x14ac:dyDescent="0.35">
      <c r="B115" s="60"/>
    </row>
    <row r="116" spans="1:6" s="27" customFormat="1" hidden="1" x14ac:dyDescent="0.35">
      <c r="B116" s="27" t="s">
        <v>74</v>
      </c>
      <c r="C116" s="40">
        <f>C109</f>
        <v>0</v>
      </c>
    </row>
    <row r="117" spans="1:6" s="27" customFormat="1" hidden="1" x14ac:dyDescent="0.35">
      <c r="B117" s="27" t="s">
        <v>163</v>
      </c>
      <c r="C117" s="40">
        <f>SUM(C110:C113)</f>
        <v>0</v>
      </c>
    </row>
    <row r="118" spans="1:6" s="27" customFormat="1" hidden="1" x14ac:dyDescent="0.35">
      <c r="B118" s="27" t="s">
        <v>66</v>
      </c>
      <c r="C118" s="27">
        <f>C6</f>
        <v>0</v>
      </c>
      <c r="E118" s="9"/>
    </row>
    <row r="119" spans="1:6" s="27" customFormat="1" hidden="1" x14ac:dyDescent="0.35">
      <c r="A119" s="27" t="s">
        <v>88</v>
      </c>
      <c r="B119" s="27" t="s">
        <v>86</v>
      </c>
      <c r="C119" s="94" t="e">
        <f>(C116/C118)*100</f>
        <v>#DIV/0!</v>
      </c>
      <c r="E119" s="93"/>
    </row>
    <row r="120" spans="1:6" s="27" customFormat="1" hidden="1" x14ac:dyDescent="0.35">
      <c r="B120" s="27" t="s">
        <v>161</v>
      </c>
      <c r="C120" s="42" t="e">
        <f>(C119)-20</f>
        <v>#DIV/0!</v>
      </c>
      <c r="E120" s="9"/>
    </row>
    <row r="121" spans="1:6" s="27" customFormat="1" hidden="1" x14ac:dyDescent="0.35">
      <c r="B121" s="44" t="s">
        <v>96</v>
      </c>
      <c r="C121" s="45" t="e">
        <f>IF(C120*0.5&gt;=20,20,C120*0.5)</f>
        <v>#DIV/0!</v>
      </c>
      <c r="E121" s="9"/>
    </row>
    <row r="122" spans="1:6" s="27" customFormat="1" hidden="1" x14ac:dyDescent="0.35">
      <c r="A122" s="27" t="s">
        <v>89</v>
      </c>
      <c r="B122" s="27" t="s">
        <v>87</v>
      </c>
      <c r="C122" s="42" t="e">
        <f>IF(C119&lt;20,0,IF(C7&gt;0,20-C121,"na"))</f>
        <v>#DIV/0!</v>
      </c>
      <c r="D122" s="59"/>
      <c r="E122" s="9"/>
    </row>
    <row r="123" spans="1:6" s="27" customFormat="1" hidden="1" x14ac:dyDescent="0.35">
      <c r="B123" s="27" t="s">
        <v>91</v>
      </c>
      <c r="C123" s="42" t="e">
        <f>(20-C121)/30</f>
        <v>#DIV/0!</v>
      </c>
      <c r="D123" s="59"/>
      <c r="E123" s="9"/>
    </row>
    <row r="124" spans="1:6" s="27" customFormat="1" hidden="1" x14ac:dyDescent="0.35">
      <c r="B124" s="27" t="s">
        <v>75</v>
      </c>
      <c r="C124" s="42">
        <f>SUM(E109:E114)</f>
        <v>0</v>
      </c>
      <c r="D124" s="59"/>
      <c r="E124" s="9"/>
    </row>
    <row r="125" spans="1:6" s="27" customFormat="1" hidden="1" x14ac:dyDescent="0.35">
      <c r="B125" s="27" t="s">
        <v>92</v>
      </c>
      <c r="C125" s="94" t="e">
        <f>IF($C$122&gt;0,IF($C$117&lt;=0,0,$C$124/$C$117*100),0)</f>
        <v>#DIV/0!</v>
      </c>
      <c r="D125" s="59"/>
      <c r="E125" s="9"/>
    </row>
    <row r="126" spans="1:6" s="27" customFormat="1" hidden="1" x14ac:dyDescent="0.35">
      <c r="B126" s="27" t="s">
        <v>76</v>
      </c>
      <c r="C126" s="43" t="e">
        <f>80-(C125)</f>
        <v>#DIV/0!</v>
      </c>
    </row>
    <row r="127" spans="1:6" s="27" customFormat="1" hidden="1" x14ac:dyDescent="0.35">
      <c r="B127" s="27" t="s">
        <v>77</v>
      </c>
      <c r="C127" s="29" t="e">
        <f>+C123*C126</f>
        <v>#DIV/0!</v>
      </c>
      <c r="D127" s="29" t="e">
        <f>+C121+C127</f>
        <v>#DIV/0!</v>
      </c>
      <c r="E127" s="27" t="s">
        <v>128</v>
      </c>
    </row>
    <row r="128" spans="1:6" s="9" customFormat="1" hidden="1" x14ac:dyDescent="0.35">
      <c r="B128" s="20" t="s">
        <v>93</v>
      </c>
      <c r="C128" s="96" t="e" cm="1">
        <f t="array" ref="C128">_xlfn.IFS(C119&lt;20%,0,C119&gt;20%,D127)</f>
        <v>#DIV/0!</v>
      </c>
    </row>
    <row r="129" spans="2:8" s="9" customFormat="1" x14ac:dyDescent="0.35"/>
    <row r="130" spans="2:8" ht="45" customHeight="1" x14ac:dyDescent="0.35">
      <c r="B130" s="107" t="s">
        <v>162</v>
      </c>
      <c r="C130" s="107"/>
      <c r="D130" s="107"/>
    </row>
    <row r="131" spans="2:8" x14ac:dyDescent="0.35">
      <c r="D131" s="25"/>
      <c r="E131" s="25"/>
      <c r="F131" s="25"/>
      <c r="G131" s="25"/>
      <c r="H131" s="25"/>
    </row>
  </sheetData>
  <sheetProtection algorithmName="SHA-512" hashValue="gLHvcqF9ise1wRWUliWKV8doNL+XhCL7lTlvXJCBKXjEn+7lp+rlvRE0jCr3rRMJsZrlWiC6sUDnrq3UULvVFQ==" saltValue="5iPtkmv76BRvvdUU5TcXSw==" spinCount="100000" sheet="1" objects="1" scenarios="1"/>
  <mergeCells count="10">
    <mergeCell ref="B130:D130"/>
    <mergeCell ref="B97:C97"/>
    <mergeCell ref="C9:D9"/>
    <mergeCell ref="C10:D10"/>
    <mergeCell ref="B2:D2"/>
    <mergeCell ref="C5:D5"/>
    <mergeCell ref="C4:D4"/>
    <mergeCell ref="C6:D6"/>
    <mergeCell ref="C7:D7"/>
    <mergeCell ref="C8:D8"/>
  </mergeCells>
  <conditionalFormatting sqref="C52:D54">
    <cfRule type="expression" dxfId="2" priority="1">
      <formula>AND($C$61="yes", $C$63&gt;=20%)</formula>
    </cfRule>
  </conditionalFormatting>
  <conditionalFormatting sqref="C61:D62">
    <cfRule type="expression" dxfId="1" priority="7">
      <formula>AND($C$52="yes", $C$54&gt;=20%)</formula>
    </cfRule>
  </conditionalFormatting>
  <conditionalFormatting sqref="C101:D101">
    <cfRule type="expression" dxfId="0" priority="2">
      <formula>AND($C$101&lt;&gt;"",$C$101&gt;65000)</formula>
    </cfRule>
  </conditionalFormatting>
  <pageMargins left="0.7" right="0.7" top="0.75" bottom="0.75" header="0.3" footer="0.3"/>
  <pageSetup orientation="portrait" horizontalDpi="1200" verticalDpi="1200" r:id="rId1"/>
  <headerFooter>
    <oddFooter>&amp;L_x000D_&amp;1#&amp;"Calibri"&amp;9&amp;K0000FF FHLBank San Francisco | Confidential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A7266299-49D0-414D-B906-3BC41C7ECAB7}">
          <x14:formula1>
            <xm:f>Sheet2!$D$3:$D$22</xm:f>
          </x14:formula1>
          <xm:sqref>C32</xm:sqref>
        </x14:dataValidation>
        <x14:dataValidation type="list" allowBlank="1" showInputMessage="1" showErrorMessage="1" xr:uid="{A5D55348-E0F4-4D3A-8FD4-26936833FCB1}">
          <x14:formula1>
            <xm:f>Sheet2!$A$22:$A$24</xm:f>
          </x14:formula1>
          <xm:sqref>C61 C52 C67 C72 C92 C77</xm:sqref>
        </x14:dataValidation>
        <x14:dataValidation type="list" allowBlank="1" showInputMessage="1" showErrorMessage="1" xr:uid="{144A61B2-5D4F-4FE8-B955-CE0D00197B26}">
          <x14:formula1>
            <xm:f>Sheet2!$F$3:$F$5</xm:f>
          </x14:formula1>
          <xm:sqref>C33:C34</xm:sqref>
        </x14:dataValidation>
        <x14:dataValidation type="list" allowBlank="1" showInputMessage="1" showErrorMessage="1" xr:uid="{D6D72929-E64A-4AA6-8CDB-AC35051650FA}">
          <x14:formula1>
            <xm:f>Sheet2!$A$3:$A$7</xm:f>
          </x14:formula1>
          <xm:sqref>C28</xm:sqref>
        </x14:dataValidation>
        <x14:dataValidation type="list" allowBlank="1" showInputMessage="1" showErrorMessage="1" xr:uid="{8FD19A9B-71EA-444D-82A0-943C70BCD05B}">
          <x14:formula1>
            <xm:f>Sheet2!$B$3:$B$5</xm:f>
          </x14:formula1>
          <xm:sqref>C29</xm:sqref>
        </x14:dataValidation>
        <x14:dataValidation type="list" allowBlank="1" showInputMessage="1" showErrorMessage="1" xr:uid="{524AFCB9-A827-4CC9-BB6A-FF79AC9644CC}">
          <x14:formula1>
            <xm:f>Sheet2!$C$3:$C$8</xm:f>
          </x14:formula1>
          <xm:sqref>C30:C31</xm:sqref>
        </x14:dataValidation>
        <x14:dataValidation type="list" allowBlank="1" showInputMessage="1" showErrorMessage="1" xr:uid="{D6AF791F-8053-4ACD-BA74-ED911E033AFE}">
          <x14:formula1>
            <xm:f>Sheet2!$G$3:$G$6</xm:f>
          </x14:formula1>
          <xm:sqref>C35</xm:sqref>
        </x14:dataValidation>
        <x14:dataValidation type="list" allowBlank="1" showInputMessage="1" showErrorMessage="1" xr:uid="{EACC92A6-DB6A-4B3A-8327-CD6E94923B7D}">
          <x14:formula1>
            <xm:f>Sheet2!$A$33:$A$36</xm:f>
          </x14:formula1>
          <xm:sqref>C75</xm:sqref>
        </x14:dataValidation>
        <x14:dataValidation type="list" allowBlank="1" showInputMessage="1" showErrorMessage="1" xr:uid="{DFE77871-3D42-4D25-8B7C-9B800D5E7917}">
          <x14:formula1>
            <xm:f>Sheet2!$D$33:$D$36</xm:f>
          </x14:formula1>
          <xm:sqref>C76</xm:sqref>
        </x14:dataValidation>
        <x14:dataValidation type="list" allowBlank="1" showInputMessage="1" showErrorMessage="1" xr:uid="{4ED05441-32E5-4849-A15C-65009C570681}">
          <x14:formula1>
            <xm:f>Sheet2!$A$23:$A$25</xm:f>
          </x14:formula1>
          <xm:sqref>C80 C83 C89</xm:sqref>
        </x14:dataValidation>
        <x14:dataValidation type="list" allowBlank="1" showInputMessage="1" showErrorMessage="1" xr:uid="{1ADD0AD1-36ED-4A4F-B0A3-E44153DDBC1E}">
          <x14:formula1>
            <xm:f>Sheet2!$A$44:$A$49</xm:f>
          </x14:formula1>
          <xm:sqref>C44</xm:sqref>
        </x14:dataValidation>
        <x14:dataValidation type="list" allowBlank="1" showInputMessage="1" showErrorMessage="1" xr:uid="{DC463C2C-2583-49C4-897E-9DA790D176A6}">
          <x14:formula1>
            <xm:f>Sheet2!$A$38:$A$40</xm:f>
          </x14:formula1>
          <xm:sqref>C38</xm:sqref>
        </x14:dataValidation>
        <x14:dataValidation type="list" allowBlank="1" showInputMessage="1" showErrorMessage="1" xr:uid="{66511F07-4849-4133-BA1D-BA7DBE8F3681}">
          <x14:formula1>
            <xm:f>Sheet2!$A$41:$A$43</xm:f>
          </x14:formula1>
          <xm:sqref>C41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CE492D-DEE1-4F94-B752-FBF8277CDF05}">
  <dimension ref="A1:G59"/>
  <sheetViews>
    <sheetView workbookViewId="0">
      <selection activeCell="A51" sqref="A51"/>
    </sheetView>
  </sheetViews>
  <sheetFormatPr defaultRowHeight="14.5" x14ac:dyDescent="0.35"/>
  <cols>
    <col min="1" max="1" width="60.26953125" bestFit="1" customWidth="1"/>
    <col min="2" max="2" width="13" bestFit="1" customWidth="1"/>
    <col min="3" max="3" width="13" customWidth="1"/>
    <col min="4" max="4" width="46" bestFit="1" customWidth="1"/>
    <col min="5" max="6" width="46" customWidth="1"/>
    <col min="7" max="7" width="58.36328125" bestFit="1" customWidth="1"/>
  </cols>
  <sheetData>
    <row r="1" spans="1:7" x14ac:dyDescent="0.35">
      <c r="A1" s="2" t="s">
        <v>3</v>
      </c>
      <c r="B1" s="1"/>
      <c r="C1" s="1"/>
      <c r="D1" s="1"/>
      <c r="E1" s="1"/>
      <c r="F1" s="1"/>
      <c r="G1" s="1"/>
    </row>
    <row r="2" spans="1:7" ht="72.5" x14ac:dyDescent="0.35">
      <c r="A2" s="3" t="s">
        <v>131</v>
      </c>
      <c r="B2" s="3" t="s">
        <v>147</v>
      </c>
      <c r="C2" s="3" t="s">
        <v>25</v>
      </c>
      <c r="D2" s="3" t="s">
        <v>24</v>
      </c>
      <c r="E2" s="3"/>
      <c r="F2" s="3" t="s">
        <v>45</v>
      </c>
      <c r="G2" s="3" t="s">
        <v>16</v>
      </c>
    </row>
    <row r="3" spans="1:7" x14ac:dyDescent="0.35">
      <c r="D3" s="1" t="s">
        <v>27</v>
      </c>
      <c r="E3" s="1">
        <v>1</v>
      </c>
    </row>
    <row r="4" spans="1:7" x14ac:dyDescent="0.35">
      <c r="A4" s="1" t="s">
        <v>17</v>
      </c>
      <c r="B4" s="1" t="s">
        <v>18</v>
      </c>
      <c r="C4" s="1">
        <v>1</v>
      </c>
      <c r="D4" s="1" t="s">
        <v>28</v>
      </c>
      <c r="E4" s="1">
        <v>1</v>
      </c>
      <c r="F4" s="1" t="s">
        <v>46</v>
      </c>
      <c r="G4" s="1" t="s">
        <v>19</v>
      </c>
    </row>
    <row r="5" spans="1:7" x14ac:dyDescent="0.35">
      <c r="A5" s="1" t="s">
        <v>136</v>
      </c>
      <c r="B5" s="1" t="s">
        <v>20</v>
      </c>
      <c r="C5" s="1">
        <v>2</v>
      </c>
      <c r="D5" s="1" t="s">
        <v>42</v>
      </c>
      <c r="E5" s="1">
        <v>1</v>
      </c>
      <c r="F5" s="1" t="s">
        <v>47</v>
      </c>
      <c r="G5" s="1" t="s">
        <v>21</v>
      </c>
    </row>
    <row r="6" spans="1:7" x14ac:dyDescent="0.35">
      <c r="A6" s="1" t="s">
        <v>14</v>
      </c>
      <c r="B6" s="1"/>
      <c r="C6" s="1">
        <v>3</v>
      </c>
      <c r="D6" s="1" t="s">
        <v>30</v>
      </c>
      <c r="E6" s="1">
        <v>1</v>
      </c>
      <c r="F6" s="1" t="s">
        <v>114</v>
      </c>
      <c r="G6" s="1" t="s">
        <v>22</v>
      </c>
    </row>
    <row r="7" spans="1:7" x14ac:dyDescent="0.35">
      <c r="A7" s="1" t="s">
        <v>15</v>
      </c>
      <c r="B7" s="1"/>
      <c r="C7" s="1">
        <v>4</v>
      </c>
      <c r="D7" s="1" t="s">
        <v>29</v>
      </c>
      <c r="E7" s="1">
        <v>1</v>
      </c>
      <c r="F7" s="1"/>
      <c r="G7" s="1"/>
    </row>
    <row r="8" spans="1:7" x14ac:dyDescent="0.35">
      <c r="A8" s="1"/>
      <c r="B8" s="1"/>
      <c r="C8" s="1">
        <v>0</v>
      </c>
      <c r="D8" s="1" t="s">
        <v>31</v>
      </c>
      <c r="E8" s="1">
        <v>2</v>
      </c>
      <c r="F8" s="1"/>
      <c r="G8" s="1"/>
    </row>
    <row r="9" spans="1:7" x14ac:dyDescent="0.35">
      <c r="A9" s="1"/>
      <c r="B9" s="1"/>
      <c r="C9" s="1"/>
      <c r="D9" s="1" t="s">
        <v>32</v>
      </c>
      <c r="E9" s="1">
        <v>2</v>
      </c>
      <c r="F9" s="1"/>
      <c r="G9" s="1"/>
    </row>
    <row r="10" spans="1:7" x14ac:dyDescent="0.35">
      <c r="D10" s="1" t="s">
        <v>43</v>
      </c>
      <c r="E10" s="1">
        <v>2</v>
      </c>
      <c r="F10" s="1"/>
    </row>
    <row r="11" spans="1:7" x14ac:dyDescent="0.35">
      <c r="D11" s="1" t="s">
        <v>33</v>
      </c>
      <c r="E11" s="1">
        <v>2</v>
      </c>
      <c r="F11" s="1"/>
    </row>
    <row r="12" spans="1:7" x14ac:dyDescent="0.35">
      <c r="D12" s="1" t="s">
        <v>34</v>
      </c>
      <c r="E12" s="1">
        <v>2</v>
      </c>
      <c r="F12" s="1"/>
    </row>
    <row r="13" spans="1:7" x14ac:dyDescent="0.35">
      <c r="D13" s="1" t="s">
        <v>35</v>
      </c>
      <c r="E13" s="1">
        <v>2</v>
      </c>
      <c r="F13" s="1"/>
    </row>
    <row r="14" spans="1:7" x14ac:dyDescent="0.35">
      <c r="D14" s="1" t="s">
        <v>36</v>
      </c>
      <c r="E14" s="1">
        <v>3</v>
      </c>
      <c r="F14" s="1"/>
    </row>
    <row r="15" spans="1:7" x14ac:dyDescent="0.35">
      <c r="D15" s="1" t="s">
        <v>37</v>
      </c>
      <c r="E15" s="1">
        <v>3</v>
      </c>
      <c r="F15" s="1"/>
    </row>
    <row r="16" spans="1:7" x14ac:dyDescent="0.35">
      <c r="D16" s="1" t="s">
        <v>44</v>
      </c>
      <c r="E16" s="1">
        <v>3</v>
      </c>
      <c r="F16" s="1"/>
    </row>
    <row r="17" spans="1:6" x14ac:dyDescent="0.35">
      <c r="D17" s="1" t="s">
        <v>38</v>
      </c>
      <c r="E17" s="1">
        <v>3</v>
      </c>
      <c r="F17" s="1"/>
    </row>
    <row r="18" spans="1:6" x14ac:dyDescent="0.35">
      <c r="A18" t="s">
        <v>83</v>
      </c>
      <c r="D18" s="1" t="s">
        <v>39</v>
      </c>
      <c r="E18" s="1">
        <v>3</v>
      </c>
      <c r="F18" s="1"/>
    </row>
    <row r="19" spans="1:6" x14ac:dyDescent="0.35">
      <c r="A19" t="s">
        <v>84</v>
      </c>
      <c r="D19" s="1" t="s">
        <v>40</v>
      </c>
      <c r="E19" s="1">
        <v>3</v>
      </c>
      <c r="F19" s="1"/>
    </row>
    <row r="20" spans="1:6" x14ac:dyDescent="0.35">
      <c r="A20" t="s">
        <v>85</v>
      </c>
      <c r="D20" s="1" t="s">
        <v>41</v>
      </c>
      <c r="E20" s="1">
        <v>3</v>
      </c>
      <c r="F20" s="1"/>
    </row>
    <row r="21" spans="1:6" x14ac:dyDescent="0.35">
      <c r="D21" s="1" t="s">
        <v>15</v>
      </c>
      <c r="E21" s="1">
        <v>0</v>
      </c>
      <c r="F21" s="1"/>
    </row>
    <row r="22" spans="1:6" x14ac:dyDescent="0.35">
      <c r="A22" s="4"/>
    </row>
    <row r="23" spans="1:6" x14ac:dyDescent="0.35">
      <c r="A23" t="s">
        <v>46</v>
      </c>
    </row>
    <row r="24" spans="1:6" x14ac:dyDescent="0.35">
      <c r="A24" t="s">
        <v>47</v>
      </c>
    </row>
    <row r="26" spans="1:6" x14ac:dyDescent="0.35">
      <c r="A26" s="13" t="s">
        <v>5</v>
      </c>
    </row>
    <row r="27" spans="1:6" x14ac:dyDescent="0.35">
      <c r="A27" s="8" t="s">
        <v>53</v>
      </c>
      <c r="B27" s="14">
        <v>0.2</v>
      </c>
      <c r="C27" s="5"/>
    </row>
    <row r="28" spans="1:6" x14ac:dyDescent="0.35">
      <c r="A28" s="8" t="s">
        <v>54</v>
      </c>
      <c r="B28" s="14">
        <v>0.8</v>
      </c>
      <c r="C28" s="5"/>
    </row>
    <row r="29" spans="1:6" x14ac:dyDescent="0.35">
      <c r="A29" s="8" t="s">
        <v>55</v>
      </c>
      <c r="B29" s="9">
        <v>6</v>
      </c>
      <c r="C29" s="5"/>
    </row>
    <row r="30" spans="1:6" x14ac:dyDescent="0.35">
      <c r="A30" s="8" t="s">
        <v>56</v>
      </c>
      <c r="B30" s="9">
        <v>3</v>
      </c>
      <c r="C30" s="5"/>
    </row>
    <row r="31" spans="1:6" x14ac:dyDescent="0.35">
      <c r="B31" s="8"/>
      <c r="C31" s="8"/>
      <c r="D31" s="8"/>
    </row>
    <row r="32" spans="1:6" x14ac:dyDescent="0.35">
      <c r="A32" s="13" t="s">
        <v>59</v>
      </c>
      <c r="B32" s="8"/>
      <c r="C32" s="8"/>
      <c r="D32" s="13" t="s">
        <v>61</v>
      </c>
    </row>
    <row r="33" spans="1:5" x14ac:dyDescent="0.35">
      <c r="A33" t="s">
        <v>157</v>
      </c>
      <c r="B33" s="8">
        <v>0</v>
      </c>
      <c r="C33" s="8"/>
      <c r="D33" s="8" t="s">
        <v>155</v>
      </c>
      <c r="E33">
        <v>0</v>
      </c>
    </row>
    <row r="34" spans="1:5" x14ac:dyDescent="0.35">
      <c r="A34" t="s">
        <v>158</v>
      </c>
      <c r="B34" s="8">
        <v>1.5</v>
      </c>
      <c r="C34" s="8"/>
      <c r="D34" s="8" t="s">
        <v>156</v>
      </c>
      <c r="E34">
        <v>2</v>
      </c>
    </row>
    <row r="35" spans="1:5" x14ac:dyDescent="0.35">
      <c r="A35" t="s">
        <v>60</v>
      </c>
      <c r="B35" s="8">
        <v>3</v>
      </c>
      <c r="C35" s="8"/>
      <c r="D35" s="8" t="s">
        <v>62</v>
      </c>
      <c r="E35">
        <v>2</v>
      </c>
    </row>
    <row r="36" spans="1:5" x14ac:dyDescent="0.35">
      <c r="B36" s="8"/>
      <c r="C36" s="8"/>
      <c r="D36" s="8"/>
    </row>
    <row r="37" spans="1:5" x14ac:dyDescent="0.35">
      <c r="A37" s="4" t="s">
        <v>4</v>
      </c>
      <c r="B37" s="8"/>
      <c r="C37" s="8"/>
      <c r="D37" s="8"/>
    </row>
    <row r="38" spans="1:5" x14ac:dyDescent="0.35">
      <c r="A38" s="4"/>
      <c r="B38" s="8"/>
      <c r="C38" s="8"/>
      <c r="D38" s="8"/>
    </row>
    <row r="39" spans="1:5" x14ac:dyDescent="0.35">
      <c r="A39" s="8" t="s">
        <v>114</v>
      </c>
      <c r="B39" s="8">
        <v>0</v>
      </c>
      <c r="C39" s="8"/>
      <c r="D39" s="8"/>
    </row>
    <row r="40" spans="1:5" x14ac:dyDescent="0.35">
      <c r="A40" s="8" t="s">
        <v>109</v>
      </c>
      <c r="B40" s="8">
        <v>5</v>
      </c>
      <c r="C40" s="8"/>
      <c r="D40" s="8"/>
    </row>
    <row r="41" spans="1:5" x14ac:dyDescent="0.35">
      <c r="A41" s="8"/>
      <c r="B41" s="8"/>
      <c r="C41" s="8"/>
      <c r="D41" s="8"/>
    </row>
    <row r="42" spans="1:5" x14ac:dyDescent="0.35">
      <c r="A42" s="8" t="s">
        <v>114</v>
      </c>
      <c r="B42" s="8"/>
      <c r="C42" s="8"/>
      <c r="D42" s="8"/>
    </row>
    <row r="43" spans="1:5" x14ac:dyDescent="0.35">
      <c r="A43" s="76" t="s">
        <v>108</v>
      </c>
      <c r="B43" s="8">
        <v>1</v>
      </c>
      <c r="C43" s="8"/>
      <c r="D43" s="8"/>
    </row>
    <row r="44" spans="1:5" x14ac:dyDescent="0.35">
      <c r="A44" s="76"/>
      <c r="B44" s="8"/>
      <c r="C44" s="8"/>
      <c r="D44" s="8"/>
    </row>
    <row r="45" spans="1:5" x14ac:dyDescent="0.35">
      <c r="A45" s="8" t="s">
        <v>114</v>
      </c>
      <c r="B45" s="8"/>
      <c r="C45" s="8"/>
      <c r="D45" s="8"/>
    </row>
    <row r="46" spans="1:5" x14ac:dyDescent="0.35">
      <c r="A46" s="8" t="s">
        <v>110</v>
      </c>
      <c r="B46" s="8">
        <v>1</v>
      </c>
      <c r="C46" s="8"/>
      <c r="D46" s="8"/>
    </row>
    <row r="47" spans="1:5" x14ac:dyDescent="0.35">
      <c r="A47" s="8" t="s">
        <v>111</v>
      </c>
      <c r="B47" s="8">
        <v>2</v>
      </c>
      <c r="C47" s="8"/>
      <c r="D47" s="8"/>
    </row>
    <row r="48" spans="1:5" x14ac:dyDescent="0.35">
      <c r="A48" s="8" t="s">
        <v>112</v>
      </c>
      <c r="B48" s="8">
        <v>3</v>
      </c>
      <c r="C48" s="8"/>
      <c r="D48" s="8"/>
    </row>
    <row r="49" spans="1:4" x14ac:dyDescent="0.35">
      <c r="A49" s="8" t="s">
        <v>113</v>
      </c>
      <c r="B49" s="8">
        <v>4</v>
      </c>
      <c r="C49" s="8"/>
      <c r="D49" s="8"/>
    </row>
    <row r="50" spans="1:4" x14ac:dyDescent="0.35">
      <c r="A50" s="8"/>
      <c r="B50" s="8"/>
      <c r="C50" s="8"/>
      <c r="D50" s="8"/>
    </row>
    <row r="51" spans="1:4" x14ac:dyDescent="0.35">
      <c r="A51" s="13" t="s">
        <v>9</v>
      </c>
      <c r="B51" s="8"/>
      <c r="C51" s="8"/>
      <c r="D51" s="8"/>
    </row>
    <row r="52" spans="1:4" x14ac:dyDescent="0.35">
      <c r="A52" s="8" t="s">
        <v>63</v>
      </c>
      <c r="B52" s="8">
        <v>5</v>
      </c>
      <c r="C52" s="8"/>
      <c r="D52" s="8"/>
    </row>
    <row r="53" spans="1:4" x14ac:dyDescent="0.35">
      <c r="A53" s="8" t="s">
        <v>64</v>
      </c>
      <c r="B53" s="8">
        <v>2.5</v>
      </c>
      <c r="C53" s="8"/>
      <c r="D53" s="8"/>
    </row>
    <row r="54" spans="1:4" x14ac:dyDescent="0.35">
      <c r="A54" s="8"/>
      <c r="B54" s="8"/>
      <c r="C54" s="8"/>
      <c r="D54" s="8"/>
    </row>
    <row r="55" spans="1:4" x14ac:dyDescent="0.35">
      <c r="A55" s="8" t="s">
        <v>65</v>
      </c>
      <c r="B55" s="8">
        <v>2</v>
      </c>
      <c r="C55" s="8"/>
      <c r="D55" s="8"/>
    </row>
    <row r="56" spans="1:4" x14ac:dyDescent="0.35">
      <c r="B56" s="8"/>
      <c r="C56" s="8"/>
      <c r="D56" s="8"/>
    </row>
    <row r="57" spans="1:4" x14ac:dyDescent="0.35">
      <c r="B57" s="8"/>
      <c r="C57" s="8"/>
      <c r="D57" s="8"/>
    </row>
    <row r="58" spans="1:4" s="8" customFormat="1" ht="29" x14ac:dyDescent="0.35">
      <c r="A58" s="11" t="s">
        <v>67</v>
      </c>
      <c r="B58" s="11" t="s">
        <v>68</v>
      </c>
      <c r="C58" s="11" t="s">
        <v>69</v>
      </c>
      <c r="D58" s="11" t="s">
        <v>70</v>
      </c>
    </row>
    <row r="59" spans="1:4" s="8" customFormat="1" x14ac:dyDescent="0.35">
      <c r="A59" s="8">
        <v>5</v>
      </c>
      <c r="B59" s="23">
        <v>2000000</v>
      </c>
      <c r="C59" s="23">
        <v>30000</v>
      </c>
      <c r="D59" s="23">
        <v>65000</v>
      </c>
    </row>
  </sheetData>
  <sheetProtection algorithmName="SHA-512" hashValue="dUz9A5d95H3ZmmB1hP9UnM5Zb29mwUgPhbwjzau0xFXdNwMEfVEUvOLH/m2oxJzRptDn82MOwS0+8VPSw+pj4A==" saltValue="ciNN1edbWLNI3hAglGXVrg==" spinCount="100000" sheet="1" objects="1" scenarios="1"/>
  <pageMargins left="0.7" right="0.7" top="0.75" bottom="0.75" header="0.3" footer="0.3"/>
  <pageSetup orientation="portrait" horizontalDpi="1200" verticalDpi="1200" r:id="rId1"/>
  <headerFooter>
    <oddFooter>&amp;L_x000D_&amp;1#&amp;"Calibri"&amp;9&amp;K0000FF FHLBank San Francisco | Confidential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F82FF-3887-4AD8-8425-518D4A50B97A}">
  <dimension ref="A1"/>
  <sheetViews>
    <sheetView workbookViewId="0">
      <selection activeCell="K62" sqref="K62"/>
    </sheetView>
  </sheetViews>
  <sheetFormatPr defaultRowHeight="14.5" x14ac:dyDescent="0.35"/>
  <sheetData/>
  <sheetProtection algorithmName="SHA-512" hashValue="tDmhz996JGHPBfBctLOlwoqjs0PeJbVDn+gnmPhC4btXkVkmxqjqoLnKngV0I8C+EyLky1RN9HimwTIaMsEq3w==" saltValue="mLZ/9BX9atPfzhNTGkeVjA==" spinCount="100000" sheet="1" objects="1" scenarios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2026 Estimated Score</vt:lpstr>
      <vt:lpstr>Sheet2</vt:lpstr>
      <vt:lpstr>2025 Scoring Results</vt:lpstr>
    </vt:vector>
  </TitlesOfParts>
  <Company>Federal Home Loan Bank of SF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Chou, Kelly</dc:creator>
  <cp:lastModifiedBy>Chou, Kelly</cp:lastModifiedBy>
  <dcterms:created xsi:type="dcterms:W3CDTF">2025-10-28T22:27:13Z</dcterms:created>
  <dcterms:modified xsi:type="dcterms:W3CDTF">2026-01-29T23:09:42Z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6b385a4-c4f2-4c8e-b56c-f802145fa077_Enabled">
    <vt:lpwstr>true</vt:lpwstr>
  </property>
  <property fmtid="{D5CDD505-2E9C-101B-9397-08002B2CF9AE}" pid="3" name="MSIP_Label_f6b385a4-c4f2-4c8e-b56c-f802145fa077_SetDate">
    <vt:lpwstr>2025-10-28T23:02:16Z</vt:lpwstr>
  </property>
  <property fmtid="{D5CDD505-2E9C-101B-9397-08002B2CF9AE}" pid="4" name="MSIP_Label_f6b385a4-c4f2-4c8e-b56c-f802145fa077_Method">
    <vt:lpwstr>Privileged</vt:lpwstr>
  </property>
  <property fmtid="{D5CDD505-2E9C-101B-9397-08002B2CF9AE}" pid="5" name="MSIP_Label_f6b385a4-c4f2-4c8e-b56c-f802145fa077_Name">
    <vt:lpwstr>Internal</vt:lpwstr>
  </property>
  <property fmtid="{D5CDD505-2E9C-101B-9397-08002B2CF9AE}" pid="6" name="MSIP_Label_f6b385a4-c4f2-4c8e-b56c-f802145fa077_SiteId">
    <vt:lpwstr>f0780ff9-b2ea-4cc5-aac1-4c940bd78c8c</vt:lpwstr>
  </property>
  <property fmtid="{D5CDD505-2E9C-101B-9397-08002B2CF9AE}" pid="7" name="MSIP_Label_f6b385a4-c4f2-4c8e-b56c-f802145fa077_ActionId">
    <vt:lpwstr>c47c4921-a835-460a-b2e7-c1b89e772ee2</vt:lpwstr>
  </property>
  <property fmtid="{D5CDD505-2E9C-101B-9397-08002B2CF9AE}" pid="8" name="MSIP_Label_f6b385a4-c4f2-4c8e-b56c-f802145fa077_ContentBits">
    <vt:lpwstr>2</vt:lpwstr>
  </property>
  <property fmtid="{D5CDD505-2E9C-101B-9397-08002B2CF9AE}" pid="9" name="MSIP_Label_f6b385a4-c4f2-4c8e-b56c-f802145fa077_Tag">
    <vt:lpwstr>10, 0, 1, 1</vt:lpwstr>
  </property>
</Properties>
</file>