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J:\TEMP\2025\Research\Self-Score Worksheet\"/>
    </mc:Choice>
  </mc:AlternateContent>
  <xr:revisionPtr revIDLastSave="0" documentId="13_ncr:1_{FAACA640-1795-4546-AF35-F1866DE3CD4C}" xr6:coauthVersionLast="47" xr6:coauthVersionMax="47" xr10:uidLastSave="{00000000-0000-0000-0000-000000000000}"/>
  <bookViews>
    <workbookView xWindow="38990" yWindow="1680" windowWidth="27130" windowHeight="15430" xr2:uid="{CC8F1C40-B769-49DA-9760-B4386C7EF84F}"/>
  </bookViews>
  <sheets>
    <sheet name="2026 Estimated Score" sheetId="2" r:id="rId1"/>
    <sheet name="Sheet2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2" l="1"/>
  <c r="C106" i="2"/>
  <c r="C103" i="2"/>
  <c r="C127" i="2" l="1"/>
  <c r="C129" i="2" s="1"/>
  <c r="C107" i="2" l="1"/>
  <c r="C108" i="2" l="1"/>
  <c r="D110" i="2"/>
  <c r="D109" i="2" l="1"/>
  <c r="D23" i="2" s="1"/>
  <c r="C119" i="2"/>
  <c r="C120" i="2" s="1"/>
  <c r="C115" i="2"/>
  <c r="C74" i="2"/>
  <c r="C73" i="2"/>
  <c r="C64" i="2"/>
  <c r="C58" i="2"/>
  <c r="C41" i="2"/>
  <c r="C44" i="2"/>
  <c r="C47" i="2"/>
  <c r="D71" i="2" l="1"/>
  <c r="C50" i="2" a="1"/>
  <c r="C50" i="2" s="1"/>
  <c r="C49" i="2" a="1"/>
  <c r="C49" i="2" s="1"/>
  <c r="C48" i="2" a="1"/>
  <c r="C48" i="2" s="1"/>
  <c r="D88" i="2"/>
  <c r="D80" i="2" l="1" a="1"/>
  <c r="D80" i="2" s="1"/>
  <c r="C126" i="2" l="1"/>
  <c r="C128" i="2" l="1"/>
  <c r="C130" i="2" s="1"/>
  <c r="D123" i="2" s="1"/>
  <c r="C59" i="2"/>
  <c r="D56" i="2" s="1" a="1"/>
  <c r="D56" i="2" s="1"/>
  <c r="C65" i="2"/>
  <c r="C66" i="2" s="1"/>
  <c r="D16" i="2" l="1"/>
  <c r="C116" i="2" l="1"/>
  <c r="D113" i="2" s="1" a="1"/>
  <c r="D113" i="2" s="1"/>
  <c r="D24" i="2" l="1"/>
  <c r="D98" i="2" l="1" a="1"/>
  <c r="D98" i="2" s="1"/>
  <c r="D22" i="2" s="1"/>
  <c r="D119" i="2" l="1"/>
  <c r="D77" i="2" a="1"/>
  <c r="D77" i="2" s="1"/>
  <c r="D18" i="2"/>
  <c r="D30" i="2" l="1"/>
  <c r="C27" i="2"/>
  <c r="D85" i="2"/>
  <c r="D21" i="2" s="1"/>
  <c r="D19" i="2"/>
  <c r="D20" i="2"/>
  <c r="D34" i="2" a="1"/>
  <c r="D34" i="2" s="1"/>
  <c r="D36" i="2"/>
  <c r="C67" i="2"/>
  <c r="C68" i="2" s="1"/>
  <c r="D62" i="2" l="1"/>
  <c r="D17" i="2" s="1"/>
  <c r="D25" i="2"/>
  <c r="D35" i="2" l="1"/>
  <c r="D53" i="2" l="1"/>
  <c r="D15" i="2" s="1"/>
  <c r="D31" i="2"/>
  <c r="D26" i="2" l="1"/>
  <c r="D33" i="2" a="1"/>
  <c r="D33" i="2" s="1"/>
  <c r="D32" i="2" a="1"/>
  <c r="D32" i="2" s="1"/>
  <c r="D45" i="2"/>
  <c r="D42" i="2"/>
  <c r="D39" i="2"/>
  <c r="D13" i="2" l="1" a="1"/>
  <c r="D13" i="2" s="1"/>
  <c r="D14" i="2"/>
  <c r="D2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<sst xmlns="http://schemas.openxmlformats.org/spreadsheetml/2006/main" count="217" uniqueCount="171">
  <si>
    <t>Category</t>
  </si>
  <si>
    <t>Maximum Points</t>
  </si>
  <si>
    <t>Estimated Score</t>
  </si>
  <si>
    <t>Community Stability</t>
  </si>
  <si>
    <t>Donated Property</t>
  </si>
  <si>
    <t>Empowerment</t>
  </si>
  <si>
    <t>Homeless</t>
  </si>
  <si>
    <t>In District</t>
  </si>
  <si>
    <t>Large Units</t>
  </si>
  <si>
    <t>Native Housing</t>
  </si>
  <si>
    <t>Nonprofit Sponsorship</t>
  </si>
  <si>
    <t>Project Readiness</t>
  </si>
  <si>
    <t>Rural</t>
  </si>
  <si>
    <t>Special Needs</t>
  </si>
  <si>
    <t>Subsidy Per Unit</t>
  </si>
  <si>
    <t>Targeting</t>
  </si>
  <si>
    <t>Substantial Rehabilitation</t>
  </si>
  <si>
    <t>None</t>
  </si>
  <si>
    <t>6) Preventing or Minimizing Household Displacement</t>
  </si>
  <si>
    <t>Infill</t>
  </si>
  <si>
    <t>Applicable</t>
  </si>
  <si>
    <t>No Displacement</t>
  </si>
  <si>
    <t>Not Applicable</t>
  </si>
  <si>
    <t>Project Site is Occupied and an Acceptable Relocation Plan is in Place</t>
  </si>
  <si>
    <t>Displacement with no Mitigation</t>
  </si>
  <si>
    <t>3) # of Transit Options</t>
  </si>
  <si>
    <t>4) Sustainable Developments</t>
  </si>
  <si>
    <t>3) Proximity to Transit and Amenities</t>
  </si>
  <si>
    <t>Select from drop down menu</t>
  </si>
  <si>
    <t>LEED Certified</t>
  </si>
  <si>
    <t>GreenPoint Certified</t>
  </si>
  <si>
    <t xml:space="preserve">Rehab HERS rating - 20% improvement </t>
  </si>
  <si>
    <t>National Green Building Standard Bronze</t>
  </si>
  <si>
    <t>LEED Silver</t>
  </si>
  <si>
    <t>GreenPoint Silver</t>
  </si>
  <si>
    <t>Enterprise Green Communities</t>
  </si>
  <si>
    <t>National Green Building Standard Silver</t>
  </si>
  <si>
    <t xml:space="preserve">Rehab HERS rating - 25% improvement </t>
  </si>
  <si>
    <t>LEED Gold or Higher</t>
  </si>
  <si>
    <t>GreenPoint Gold or Higher</t>
  </si>
  <si>
    <t>National Green Building Standard Gold or Higher</t>
  </si>
  <si>
    <t xml:space="preserve">Rehab HERS rating - 30% improvement </t>
  </si>
  <si>
    <t xml:space="preserve">LEED-certified Net Zero Certification </t>
  </si>
  <si>
    <t>Enterprise Green Communities 2020 Plus Certification</t>
  </si>
  <si>
    <t>Silver State Sustainable Home Tier 1</t>
  </si>
  <si>
    <t>Silver State Sustainable Home Tier 2</t>
  </si>
  <si>
    <t>Silver State Sustainable Home Tier 3</t>
  </si>
  <si>
    <t>5) Economic Integration</t>
  </si>
  <si>
    <t>5) Location in High Resource Areas or Upper-Income Census Tracts</t>
  </si>
  <si>
    <t>Yes</t>
  </si>
  <si>
    <t>No</t>
  </si>
  <si>
    <t>Units Reserved for Homeless</t>
  </si>
  <si>
    <t>Step 1: Units in Excess of 20% Threshold</t>
  </si>
  <si>
    <t>Step 2: Units in Excess Factor</t>
  </si>
  <si>
    <t>Step 3: Multiply Factor by 3 Points</t>
  </si>
  <si>
    <t>Step 4: Project's Score</t>
  </si>
  <si>
    <t>Threshold</t>
  </si>
  <si>
    <t>Excess of Threshold</t>
  </si>
  <si>
    <t>Total Category Points</t>
  </si>
  <si>
    <t>Minimum Category Points for 20% Threshold</t>
  </si>
  <si>
    <t>Score</t>
  </si>
  <si>
    <t>% Large Units</t>
  </si>
  <si>
    <t>&gt; 50%</t>
  </si>
  <si>
    <t>&gt; 30% and &lt; or = 50%</t>
  </si>
  <si>
    <t>&lt; or = 30%</t>
  </si>
  <si>
    <t>Developer Fee</t>
  </si>
  <si>
    <t>Sponsor receives &lt;25% of total developer fee</t>
  </si>
  <si>
    <t>Project has no developer fee</t>
  </si>
  <si>
    <t>Sponsor receives = or &gt;25% of total developer fee</t>
  </si>
  <si>
    <t>Full site control</t>
  </si>
  <si>
    <t>Partial site control</t>
  </si>
  <si>
    <t>Building permit issuance or permit ready letter</t>
  </si>
  <si>
    <t>Points Possible</t>
  </si>
  <si>
    <t>Project Max Subsidy</t>
  </si>
  <si>
    <t>Name of Project</t>
  </si>
  <si>
    <t>Total Units in Project</t>
  </si>
  <si>
    <t>Units Reserved for Special Needs</t>
  </si>
  <si>
    <t>California</t>
  </si>
  <si>
    <t>Arizona</t>
  </si>
  <si>
    <t>Nevada</t>
  </si>
  <si>
    <t>Full - Multiply Factor by 3 Points</t>
  </si>
  <si>
    <t>Partial - Multiply Factor by 2 Points</t>
  </si>
  <si>
    <t># of Units</t>
  </si>
  <si>
    <t>Subsidy Request Amount</t>
  </si>
  <si>
    <t>Managers' Units</t>
  </si>
  <si>
    <t>Project Information</t>
  </si>
  <si>
    <r>
      <t xml:space="preserve">Is this project serving homeless households? 
</t>
    </r>
    <r>
      <rPr>
        <b/>
        <sz val="9"/>
        <color theme="1"/>
        <rFont val="Calibri"/>
        <family val="2"/>
      </rPr>
      <t>Projects that receive points in Special Needs are not eligible to receive points in this category.</t>
    </r>
  </si>
  <si>
    <t>Will this project have empowerment services?</t>
  </si>
  <si>
    <t>Is this project eligible for native housing points?</t>
  </si>
  <si>
    <t>Nonprofit Developer Fee</t>
  </si>
  <si>
    <t># of Rural Units</t>
  </si>
  <si>
    <t>% of Rural Units</t>
  </si>
  <si>
    <t xml:space="preserve">Project location in rural areas </t>
  </si>
  <si>
    <t>Complete/Select from drop down menu</t>
  </si>
  <si>
    <t>Complete This Section</t>
  </si>
  <si>
    <t>Total Points</t>
  </si>
  <si>
    <r>
      <t xml:space="preserve">Is this project serving special needs households? </t>
    </r>
    <r>
      <rPr>
        <b/>
        <sz val="9"/>
        <rFont val="Calibri"/>
        <family val="2"/>
      </rPr>
      <t>Projects that receive points in Homeless Households are not eligible to receive points in this category.</t>
    </r>
  </si>
  <si>
    <t>Property acquired from a federal agency at any price</t>
  </si>
  <si>
    <t>Land is conveyed at no cost or for a nominal price of $1,000 or less</t>
  </si>
  <si>
    <t>Acquisition Price is &gt; 15% and &lt; or = 20% of FMV</t>
  </si>
  <si>
    <t>Acquisition Price is &gt; 10% and &lt; or = 15% of FMV</t>
  </si>
  <si>
    <t xml:space="preserve">Acquisition Price is &gt; 5% and &lt; = 10% of FMV </t>
  </si>
  <si>
    <t xml:space="preserve">Acquisition Price is &gt; $1,000 and &lt; or = 5% of FMV </t>
  </si>
  <si>
    <t>NA</t>
  </si>
  <si>
    <t>% Reserved for Homeless</t>
  </si>
  <si>
    <t>% Reserved for Special Needs</t>
  </si>
  <si>
    <t>2026 AHP General Fund - Owner-Occupied Project Score Estimate</t>
  </si>
  <si>
    <t>Home Purchase</t>
  </si>
  <si>
    <t>Home purchased by low- or moderate-income household</t>
  </si>
  <si>
    <t># of units reserved for first-time homebuyers</t>
  </si>
  <si>
    <t>% of units reserved for first-time homebuyers</t>
  </si>
  <si>
    <t>Subsidy/Unit Owner Min</t>
  </si>
  <si>
    <t>Subsidy/Unit Owner Max</t>
  </si>
  <si>
    <t>At or below 65%</t>
  </si>
  <si>
    <t>Between 66% - 80%</t>
  </si>
  <si>
    <t>Units Targeted to 65% AMI or below</t>
  </si>
  <si>
    <t>If &gt;=20% at 65% or less = 20 pts, &lt;20% = 18 pts</t>
  </si>
  <si>
    <t>If &lt;=$60,000 = 4 pts; if &lt;=100000, 3 pts</t>
  </si>
  <si>
    <r>
      <t xml:space="preserve">Subsidy per Unit 
</t>
    </r>
    <r>
      <rPr>
        <b/>
        <sz val="9"/>
        <rFont val="Calibri"/>
        <family val="2"/>
      </rPr>
      <t>Project is ineligible if subsidy per unit is greater than $100,000</t>
    </r>
  </si>
  <si>
    <t>Donated Property (Max Points: 5)</t>
  </si>
  <si>
    <t>Community Stability (Max Points: 14)</t>
  </si>
  <si>
    <t>Empowerment Services (Max Points: 5)</t>
  </si>
  <si>
    <t>Home Purchase (Max Points: 7)</t>
  </si>
  <si>
    <t>Homeless Households (Max Points: 6)</t>
  </si>
  <si>
    <t>Special Needs (Max Points: 5)</t>
  </si>
  <si>
    <t>In District (Max Points: 8)</t>
  </si>
  <si>
    <t>Project Location (Arizona, California, Nevada)</t>
  </si>
  <si>
    <t>Large Units (Max Points: 3)</t>
  </si>
  <si>
    <t>Native Housing (Max Points: 5)</t>
  </si>
  <si>
    <t>Nonprofit Sponsorship (Max Points: 7)</t>
  </si>
  <si>
    <t>Project Readiness (Max Points: 6)</t>
  </si>
  <si>
    <t>Rural (Max Points: 5)</t>
  </si>
  <si>
    <t>Subsidy Per Unit (Max Points: 4)</t>
  </si>
  <si>
    <t>Targeting (Max Points: 20)</t>
  </si>
  <si>
    <t>Project units have three or more bedrooms</t>
  </si>
  <si>
    <t>Units with AMI over 80%</t>
  </si>
  <si>
    <t>Units with AMI at or below 80%</t>
  </si>
  <si>
    <t>1) Revitalizing Neighborhoods By Optimizing Project Site Use</t>
  </si>
  <si>
    <t>2) Community Revitalization or Economic Development Strategy</t>
  </si>
  <si>
    <t># of Units 3 bdrms or more at or below 80% AMI</t>
  </si>
  <si>
    <t>Adaptive Reuse</t>
  </si>
  <si>
    <t>Straight Donation ($1,000 or less)</t>
  </si>
  <si>
    <t xml:space="preserve">% </t>
  </si>
  <si>
    <t>Federal Agency</t>
  </si>
  <si>
    <t>Significant Discount</t>
  </si>
  <si>
    <t>Straight Donation Score</t>
  </si>
  <si>
    <t>Federal Agency Score</t>
  </si>
  <si>
    <t>Significant Discount Score</t>
  </si>
  <si>
    <t>Full Site Control</t>
  </si>
  <si>
    <t>Units under full site control</t>
  </si>
  <si>
    <t>Partial Site Control</t>
  </si>
  <si>
    <t>Units under partial site control</t>
  </si>
  <si>
    <r>
      <t xml:space="preserve">Building permit issuance or permit ready letter 
</t>
    </r>
    <r>
      <rPr>
        <b/>
        <sz val="9"/>
        <color theme="1"/>
        <rFont val="Calibri"/>
        <family val="2"/>
      </rPr>
      <t>Project is not eligible for building permit points if units are under partial site control.</t>
    </r>
  </si>
  <si>
    <t xml:space="preserve">Nonprofit sponsor integrally involved in: </t>
  </si>
  <si>
    <t>Project planning and design</t>
  </si>
  <si>
    <t>Project development</t>
  </si>
  <si>
    <t>Project financing</t>
  </si>
  <si>
    <t>Construction</t>
  </si>
  <si>
    <t>Management of self-help households</t>
  </si>
  <si>
    <t>Pre-purchase counseling</t>
  </si>
  <si>
    <t>Post-purchase counseling</t>
  </si>
  <si>
    <t>Qualification of homebuyers</t>
  </si>
  <si>
    <t>Total "Yes" Selected</t>
  </si>
  <si>
    <r>
      <rPr>
        <b/>
        <sz val="11"/>
        <color theme="1"/>
        <rFont val="Calibri"/>
        <family val="2"/>
      </rPr>
      <t>Note:</t>
    </r>
    <r>
      <rPr>
        <sz val="11"/>
        <color theme="1"/>
        <rFont val="Calibri"/>
        <family val="2"/>
      </rPr>
      <t xml:space="preserve"> Estimated scores are provided as reference only. The final application score is based on the AHP financial workbook, application form, and Bank staff review. This is a new tool, if you notice any areas that need adjustment, please let us know.</t>
    </r>
  </si>
  <si>
    <t>Total Full and Partial Site Control Points</t>
  </si>
  <si>
    <t>% Units greater than 65%</t>
  </si>
  <si>
    <t>% Units at 65% or less</t>
  </si>
  <si>
    <t>Total Restricted Units</t>
  </si>
  <si>
    <t>Target AMI</t>
  </si>
  <si>
    <t>Nonprofit Ownership Rental</t>
  </si>
  <si>
    <t>3) # of Amenities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</si>
</sst>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70C0"/>
      <name val="Calibri"/>
      <family val="2"/>
    </font>
    <font>
      <b/>
      <sz val="11"/>
      <color rgb="FF0070C0"/>
      <name val="Calibri"/>
      <family val="2"/>
    </font>
    <font>
      <b/>
      <sz val="11"/>
      <color theme="9"/>
      <name val="Calibri"/>
      <family val="2"/>
    </font>
    <font>
      <sz val="11"/>
      <color theme="9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9" tint="-0.249977111117893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9"/>
      <name val="Calibri"/>
      <family val="2"/>
    </font>
    <font>
      <b/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47D9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0" xfId="0" applyFont="1"/>
    <xf numFmtId="0" fontId="0" fillId="0" borderId="0" xfId="0" applyBorder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Border="1"/>
    <xf numFmtId="0" fontId="6" fillId="0" borderId="0" xfId="0" applyFont="1" applyBorder="1"/>
    <xf numFmtId="0" fontId="5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6" fillId="0" borderId="0" xfId="0" applyFont="1"/>
    <xf numFmtId="9" fontId="5" fillId="0" borderId="0" xfId="1" applyFont="1" applyBorder="1"/>
    <xf numFmtId="0" fontId="1" fillId="0" borderId="0" xfId="0" applyFont="1" applyFill="1"/>
    <xf numFmtId="0" fontId="2" fillId="0" borderId="0" xfId="0" applyFont="1" applyFill="1"/>
    <xf numFmtId="0" fontId="6" fillId="0" borderId="0" xfId="0" applyFont="1" applyFill="1"/>
    <xf numFmtId="0" fontId="7" fillId="0" borderId="0" xfId="0" applyFont="1" applyFill="1" applyAlignment="1">
      <alignment horizontal="left"/>
    </xf>
    <xf numFmtId="0" fontId="7" fillId="0" borderId="0" xfId="0" applyFont="1" applyFill="1" applyBorder="1"/>
    <xf numFmtId="0" fontId="7" fillId="0" borderId="0" xfId="0" applyFont="1" applyFill="1"/>
    <xf numFmtId="0" fontId="8" fillId="0" borderId="0" xfId="0" applyFont="1"/>
    <xf numFmtId="164" fontId="5" fillId="0" borderId="0" xfId="3" applyNumberFormat="1" applyFont="1"/>
    <xf numFmtId="0" fontId="7" fillId="0" borderId="0" xfId="0" applyFont="1"/>
    <xf numFmtId="0" fontId="10" fillId="0" borderId="0" xfId="0" applyFont="1" applyFill="1"/>
    <xf numFmtId="0" fontId="5" fillId="0" borderId="0" xfId="0" applyFont="1" applyFill="1"/>
    <xf numFmtId="0" fontId="7" fillId="0" borderId="0" xfId="0" applyFont="1" applyBorder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right"/>
    </xf>
    <xf numFmtId="0" fontId="11" fillId="0" borderId="0" xfId="0" applyFont="1" applyBorder="1"/>
    <xf numFmtId="0" fontId="10" fillId="0" borderId="0" xfId="0" applyFont="1" applyBorder="1"/>
    <xf numFmtId="0" fontId="7" fillId="0" borderId="0" xfId="0" applyFont="1" applyAlignment="1">
      <alignment horizontal="left" wrapText="1"/>
    </xf>
    <xf numFmtId="165" fontId="7" fillId="0" borderId="0" xfId="2" applyNumberFormat="1" applyFont="1" applyBorder="1"/>
    <xf numFmtId="10" fontId="7" fillId="0" borderId="0" xfId="1" applyNumberFormat="1" applyFont="1" applyBorder="1"/>
    <xf numFmtId="0" fontId="8" fillId="0" borderId="0" xfId="0" applyFont="1" applyBorder="1"/>
    <xf numFmtId="2" fontId="8" fillId="0" borderId="0" xfId="0" applyNumberFormat="1" applyFont="1" applyBorder="1"/>
    <xf numFmtId="0" fontId="9" fillId="0" borderId="0" xfId="0" applyFont="1" applyFill="1"/>
    <xf numFmtId="0" fontId="11" fillId="0" borderId="0" xfId="0" applyFont="1" applyFill="1"/>
    <xf numFmtId="0" fontId="5" fillId="3" borderId="0" xfId="0" applyFont="1" applyFill="1"/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11" fillId="0" borderId="0" xfId="0" applyFont="1" applyFill="1" applyBorder="1"/>
    <xf numFmtId="0" fontId="13" fillId="0" borderId="0" xfId="0" applyFont="1"/>
    <xf numFmtId="0" fontId="13" fillId="0" borderId="0" xfId="0" applyFont="1" applyFill="1"/>
    <xf numFmtId="0" fontId="13" fillId="4" borderId="0" xfId="0" applyFont="1" applyFill="1"/>
    <xf numFmtId="0" fontId="11" fillId="0" borderId="0" xfId="0" applyFont="1"/>
    <xf numFmtId="0" fontId="5" fillId="0" borderId="0" xfId="0" applyFont="1" applyFill="1" applyAlignment="1">
      <alignment wrapText="1"/>
    </xf>
    <xf numFmtId="0" fontId="8" fillId="0" borderId="0" xfId="0" applyFont="1" applyFill="1"/>
    <xf numFmtId="10" fontId="5" fillId="0" borderId="0" xfId="1" applyNumberFormat="1" applyFont="1" applyFill="1" applyBorder="1"/>
    <xf numFmtId="0" fontId="5" fillId="0" borderId="0" xfId="0" applyFont="1" applyFill="1" applyBorder="1"/>
    <xf numFmtId="0" fontId="5" fillId="0" borderId="0" xfId="0" applyFont="1" applyAlignment="1">
      <alignment horizontal="center"/>
    </xf>
    <xf numFmtId="0" fontId="6" fillId="0" borderId="0" xfId="0" applyFont="1" applyFill="1" applyAlignment="1">
      <alignment horizontal="left"/>
    </xf>
    <xf numFmtId="0" fontId="12" fillId="0" borderId="0" xfId="0" applyFont="1" applyFill="1" applyBorder="1"/>
    <xf numFmtId="0" fontId="14" fillId="0" borderId="0" xfId="0" applyFont="1" applyFill="1" applyBorder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/>
    </xf>
    <xf numFmtId="10" fontId="1" fillId="0" borderId="0" xfId="1" applyNumberFormat="1" applyFont="1" applyFill="1"/>
    <xf numFmtId="0" fontId="5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right"/>
    </xf>
    <xf numFmtId="9" fontId="5" fillId="0" borderId="0" xfId="1" applyFont="1" applyFill="1" applyBorder="1" applyAlignment="1">
      <alignment horizontal="right"/>
    </xf>
    <xf numFmtId="0" fontId="6" fillId="0" borderId="0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left" wrapText="1"/>
    </xf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>
      <alignment horizontal="right" wrapText="1"/>
    </xf>
    <xf numFmtId="0" fontId="8" fillId="0" borderId="0" xfId="0" applyFont="1" applyFill="1" applyBorder="1" applyAlignment="1">
      <alignment horizontal="left" wrapText="1"/>
    </xf>
    <xf numFmtId="43" fontId="8" fillId="0" borderId="0" xfId="0" applyNumberFormat="1" applyFont="1" applyFill="1" applyBorder="1"/>
    <xf numFmtId="165" fontId="12" fillId="0" borderId="0" xfId="2" applyNumberFormat="1" applyFont="1" applyFill="1" applyBorder="1"/>
    <xf numFmtId="2" fontId="12" fillId="0" borderId="0" xfId="0" applyNumberFormat="1" applyFont="1" applyFill="1" applyBorder="1"/>
    <xf numFmtId="2" fontId="14" fillId="0" borderId="0" xfId="0" applyNumberFormat="1" applyFont="1" applyFill="1" applyBorder="1"/>
    <xf numFmtId="0" fontId="12" fillId="0" borderId="0" xfId="0" applyFont="1" applyFill="1" applyBorder="1" applyAlignment="1">
      <alignment horizontal="right" wrapText="1"/>
    </xf>
    <xf numFmtId="10" fontId="5" fillId="0" borderId="0" xfId="1" applyNumberFormat="1" applyFont="1" applyFill="1"/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vertical="center" wrapText="1"/>
    </xf>
    <xf numFmtId="0" fontId="6" fillId="3" borderId="0" xfId="0" applyFont="1" applyFill="1" applyAlignment="1">
      <alignment vertical="center"/>
    </xf>
    <xf numFmtId="0" fontId="10" fillId="0" borderId="0" xfId="0" applyFont="1"/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indent="2"/>
    </xf>
    <xf numFmtId="1" fontId="6" fillId="0" borderId="0" xfId="0" applyNumberFormat="1" applyFont="1"/>
    <xf numFmtId="1" fontId="6" fillId="0" borderId="0" xfId="0" applyNumberFormat="1" applyFont="1" applyFill="1"/>
    <xf numFmtId="1" fontId="6" fillId="0" borderId="0" xfId="0" applyNumberFormat="1" applyFont="1" applyFill="1" applyAlignment="1">
      <alignment horizontal="right"/>
    </xf>
    <xf numFmtId="2" fontId="6" fillId="0" borderId="0" xfId="0" applyNumberFormat="1" applyFont="1"/>
    <xf numFmtId="0" fontId="12" fillId="0" borderId="0" xfId="0" applyFont="1" applyAlignment="1">
      <alignment horizontal="left" wrapText="1"/>
    </xf>
    <xf numFmtId="2" fontId="6" fillId="0" borderId="0" xfId="0" applyNumberFormat="1" applyFont="1" applyFill="1"/>
    <xf numFmtId="0" fontId="5" fillId="2" borderId="0" xfId="0" applyFont="1" applyFill="1" applyBorder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wrapText="1"/>
      <protection locked="0"/>
    </xf>
    <xf numFmtId="0" fontId="7" fillId="0" borderId="0" xfId="0" applyFont="1" applyFill="1" applyAlignment="1" applyProtection="1">
      <alignment wrapText="1"/>
      <protection locked="0"/>
    </xf>
    <xf numFmtId="0" fontId="1" fillId="2" borderId="0" xfId="0" applyFont="1" applyFill="1" applyProtection="1">
      <protection locked="0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6" fillId="2" borderId="0" xfId="0" applyFont="1" applyFill="1" applyAlignment="1" applyProtection="1">
      <alignment horizontal="right"/>
      <protection locked="0"/>
    </xf>
    <xf numFmtId="164" fontId="6" fillId="2" borderId="0" xfId="3" applyNumberFormat="1" applyFont="1" applyFill="1" applyAlignment="1" applyProtection="1">
      <alignment horizontal="right"/>
      <protection locked="0"/>
    </xf>
    <xf numFmtId="0" fontId="15" fillId="5" borderId="0" xfId="0" applyFont="1" applyFill="1" applyAlignment="1">
      <alignment horizontal="left" vertical="center"/>
    </xf>
    <xf numFmtId="0" fontId="6" fillId="2" borderId="0" xfId="0" applyFont="1" applyFill="1" applyAlignment="1" applyProtection="1">
      <alignment horizontal="right" wrapText="1"/>
      <protection locked="0"/>
    </xf>
    <xf numFmtId="0" fontId="6" fillId="3" borderId="0" xfId="0" applyFont="1" applyFill="1" applyAlignment="1">
      <alignment horizontal="center" vertic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447D99"/>
      <color rgb="FF556475"/>
      <color rgb="FFFFFFCC"/>
      <color rgb="FF8FC975"/>
      <color rgb="FF0036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0</xdr:row>
      <xdr:rowOff>47627</xdr:rowOff>
    </xdr:from>
    <xdr:to>
      <xdr:col>1</xdr:col>
      <xdr:colOff>1170411</xdr:colOff>
      <xdr:row>0</xdr:row>
      <xdr:rowOff>533401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5C2512-AF59-858D-A16D-30A7D251E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6" y="47627"/>
          <a:ext cx="1141835" cy="4857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339B5-0BFF-4DAC-8FD2-11FEBDA707FB}">
  <dimension ref="B1:U133"/>
  <sheetViews>
    <sheetView tabSelected="1" zoomScaleNormal="100" workbookViewId="0">
      <selection activeCell="B1" sqref="B1"/>
    </sheetView>
  </sheetViews>
  <sheetFormatPr defaultColWidth="8.7265625" defaultRowHeight="14.5" x14ac:dyDescent="0.35"/>
  <cols>
    <col min="1" max="1" width="3.7265625" style="8" customWidth="1"/>
    <col min="2" max="2" width="49" style="8" customWidth="1"/>
    <col min="3" max="3" width="23.453125" style="8" customWidth="1"/>
    <col min="4" max="4" width="18" style="8" customWidth="1"/>
    <col min="5" max="6" width="8.7265625" style="8"/>
    <col min="7" max="7" width="9.81640625" style="8" bestFit="1" customWidth="1"/>
    <col min="8" max="16384" width="8.7265625" style="8"/>
  </cols>
  <sheetData>
    <row r="1" spans="2:10" ht="46.5" customHeight="1" x14ac:dyDescent="0.35">
      <c r="B1" s="51"/>
      <c r="C1"/>
      <c r="F1" s="43"/>
    </row>
    <row r="2" spans="2:10" ht="18.5" x14ac:dyDescent="0.35">
      <c r="B2" s="97" t="s">
        <v>106</v>
      </c>
      <c r="C2" s="97"/>
      <c r="D2" s="97"/>
      <c r="F2" s="20"/>
    </row>
    <row r="3" spans="2:10" x14ac:dyDescent="0.35">
      <c r="B3" s="13"/>
      <c r="F3" s="23"/>
    </row>
    <row r="4" spans="2:10" x14ac:dyDescent="0.35">
      <c r="B4" s="39" t="s">
        <v>85</v>
      </c>
      <c r="C4" s="99" t="s">
        <v>94</v>
      </c>
      <c r="D4" s="99"/>
      <c r="F4" s="23"/>
    </row>
    <row r="5" spans="2:10" x14ac:dyDescent="0.35">
      <c r="B5" s="52" t="s">
        <v>74</v>
      </c>
      <c r="C5" s="98"/>
      <c r="D5" s="98"/>
      <c r="F5" s="25"/>
    </row>
    <row r="6" spans="2:10" x14ac:dyDescent="0.35">
      <c r="B6" s="52" t="s">
        <v>75</v>
      </c>
      <c r="C6" s="95"/>
      <c r="D6" s="95"/>
    </row>
    <row r="7" spans="2:10" x14ac:dyDescent="0.35">
      <c r="B7" s="52" t="s">
        <v>136</v>
      </c>
      <c r="C7" s="95"/>
      <c r="D7" s="95"/>
    </row>
    <row r="8" spans="2:10" x14ac:dyDescent="0.35">
      <c r="B8" s="52" t="s">
        <v>135</v>
      </c>
      <c r="C8" s="95"/>
      <c r="D8" s="95"/>
      <c r="E8" s="44"/>
      <c r="J8" s="46"/>
    </row>
    <row r="9" spans="2:10" x14ac:dyDescent="0.35">
      <c r="B9" s="52" t="s">
        <v>84</v>
      </c>
      <c r="C9" s="95"/>
      <c r="D9" s="95"/>
      <c r="F9" s="44"/>
    </row>
    <row r="10" spans="2:10" x14ac:dyDescent="0.35">
      <c r="B10" s="52" t="s">
        <v>83</v>
      </c>
      <c r="C10" s="96">
        <v>0</v>
      </c>
      <c r="D10" s="96"/>
      <c r="J10" s="46"/>
    </row>
    <row r="11" spans="2:10" x14ac:dyDescent="0.35">
      <c r="B11" s="12"/>
    </row>
    <row r="12" spans="2:10" x14ac:dyDescent="0.35">
      <c r="B12" s="39" t="s">
        <v>0</v>
      </c>
      <c r="C12" s="40" t="s">
        <v>1</v>
      </c>
      <c r="D12" s="41" t="s">
        <v>2</v>
      </c>
      <c r="E12" s="36"/>
      <c r="F12" s="24"/>
      <c r="G12" s="24"/>
      <c r="H12" s="24"/>
      <c r="I12" s="24"/>
      <c r="J12" s="37"/>
    </row>
    <row r="13" spans="2:10" s="9" customFormat="1" x14ac:dyDescent="0.35">
      <c r="B13" s="53" t="s">
        <v>3</v>
      </c>
      <c r="C13" s="53">
        <v>14</v>
      </c>
      <c r="D13" s="69" cm="1">
        <f t="array" ref="D13">SUMPRODUCT(--D30:D36)</f>
        <v>0</v>
      </c>
      <c r="E13" s="30"/>
      <c r="J13" s="29"/>
    </row>
    <row r="14" spans="2:10" s="9" customFormat="1" x14ac:dyDescent="0.35">
      <c r="B14" s="53" t="s">
        <v>4</v>
      </c>
      <c r="C14" s="53">
        <v>5</v>
      </c>
      <c r="D14" s="69">
        <f>MIN(SUM(D39,D42,D45),5)</f>
        <v>0</v>
      </c>
      <c r="E14" s="30"/>
      <c r="F14" s="30"/>
      <c r="G14" s="30"/>
    </row>
    <row r="15" spans="2:10" s="9" customFormat="1" x14ac:dyDescent="0.35">
      <c r="B15" s="53" t="s">
        <v>5</v>
      </c>
      <c r="C15" s="53">
        <v>5</v>
      </c>
      <c r="D15" s="69">
        <f>D53</f>
        <v>0</v>
      </c>
    </row>
    <row r="16" spans="2:10" s="9" customFormat="1" x14ac:dyDescent="0.35">
      <c r="B16" s="53" t="s">
        <v>107</v>
      </c>
      <c r="C16" s="53">
        <v>7</v>
      </c>
      <c r="D16" s="69">
        <f>IFERROR(D56,0)</f>
        <v>0</v>
      </c>
    </row>
    <row r="17" spans="2:5" s="9" customFormat="1" x14ac:dyDescent="0.35">
      <c r="B17" s="53" t="s">
        <v>6</v>
      </c>
      <c r="C17" s="53">
        <v>6</v>
      </c>
      <c r="D17" s="69">
        <f>IFERROR(D62,0)</f>
        <v>0</v>
      </c>
    </row>
    <row r="18" spans="2:5" s="9" customFormat="1" x14ac:dyDescent="0.35">
      <c r="B18" s="53" t="s">
        <v>13</v>
      </c>
      <c r="C18" s="53">
        <v>5</v>
      </c>
      <c r="D18" s="69">
        <f>IFERROR(D71,0)</f>
        <v>0</v>
      </c>
    </row>
    <row r="19" spans="2:5" s="9" customFormat="1" x14ac:dyDescent="0.35">
      <c r="B19" s="53" t="s">
        <v>7</v>
      </c>
      <c r="C19" s="53">
        <v>8</v>
      </c>
      <c r="D19" s="69">
        <f>D77</f>
        <v>0</v>
      </c>
    </row>
    <row r="20" spans="2:5" s="9" customFormat="1" x14ac:dyDescent="0.35">
      <c r="B20" s="53" t="s">
        <v>8</v>
      </c>
      <c r="C20" s="53">
        <v>3</v>
      </c>
      <c r="D20" s="69">
        <f>D80</f>
        <v>0</v>
      </c>
    </row>
    <row r="21" spans="2:5" s="9" customFormat="1" x14ac:dyDescent="0.35">
      <c r="B21" s="53" t="s">
        <v>9</v>
      </c>
      <c r="C21" s="53">
        <v>5</v>
      </c>
      <c r="D21" s="69">
        <f>D85</f>
        <v>0</v>
      </c>
    </row>
    <row r="22" spans="2:5" s="9" customFormat="1" x14ac:dyDescent="0.35">
      <c r="B22" s="53" t="s">
        <v>10</v>
      </c>
      <c r="C22" s="53">
        <v>7</v>
      </c>
      <c r="D22" s="69">
        <f>SUM(D88,D98)</f>
        <v>0</v>
      </c>
    </row>
    <row r="23" spans="2:5" s="9" customFormat="1" x14ac:dyDescent="0.35">
      <c r="B23" s="53" t="s">
        <v>11</v>
      </c>
      <c r="C23" s="53">
        <v>6</v>
      </c>
      <c r="D23" s="69">
        <f>MIN(SUM(D109,D110),6)</f>
        <v>0</v>
      </c>
    </row>
    <row r="24" spans="2:5" s="9" customFormat="1" x14ac:dyDescent="0.35">
      <c r="B24" s="53" t="s">
        <v>12</v>
      </c>
      <c r="C24" s="53">
        <v>5</v>
      </c>
      <c r="D24" s="69">
        <f>IFERROR(D113,0)</f>
        <v>0</v>
      </c>
    </row>
    <row r="25" spans="2:5" s="9" customFormat="1" x14ac:dyDescent="0.35">
      <c r="B25" s="53" t="s">
        <v>14</v>
      </c>
      <c r="C25" s="53">
        <v>4</v>
      </c>
      <c r="D25" s="69">
        <f>IFERROR(D119,0)</f>
        <v>0</v>
      </c>
    </row>
    <row r="26" spans="2:5" s="9" customFormat="1" x14ac:dyDescent="0.35">
      <c r="B26" s="53" t="s">
        <v>15</v>
      </c>
      <c r="C26" s="53">
        <v>20</v>
      </c>
      <c r="D26" s="69">
        <f>IFERROR(D123,0)</f>
        <v>0</v>
      </c>
    </row>
    <row r="27" spans="2:5" s="9" customFormat="1" x14ac:dyDescent="0.35">
      <c r="B27" s="54" t="s">
        <v>95</v>
      </c>
      <c r="C27" s="54">
        <f>SUM(C13:C26)</f>
        <v>100</v>
      </c>
      <c r="D27" s="70">
        <f>SUM(D13:D26)</f>
        <v>0</v>
      </c>
      <c r="E27" s="29"/>
    </row>
    <row r="28" spans="2:5" s="9" customFormat="1" x14ac:dyDescent="0.35"/>
    <row r="29" spans="2:5" ht="29" x14ac:dyDescent="0.35">
      <c r="B29" s="39" t="s">
        <v>120</v>
      </c>
      <c r="C29" s="41" t="s">
        <v>28</v>
      </c>
      <c r="D29" s="41" t="s">
        <v>2</v>
      </c>
    </row>
    <row r="30" spans="2:5" ht="29" x14ac:dyDescent="0.35">
      <c r="B30" s="55" t="s">
        <v>137</v>
      </c>
      <c r="C30" s="89"/>
      <c r="D30" s="83">
        <f>IF(OR(C30="none", C30=""), 0, 3)</f>
        <v>0</v>
      </c>
    </row>
    <row r="31" spans="2:5" ht="29" x14ac:dyDescent="0.35">
      <c r="B31" s="55" t="s">
        <v>138</v>
      </c>
      <c r="C31" s="89"/>
      <c r="D31" s="83">
        <f>IF(C31="applicable", 2, 0)</f>
        <v>0</v>
      </c>
    </row>
    <row r="32" spans="2:5" x14ac:dyDescent="0.35">
      <c r="B32" s="55" t="s">
        <v>25</v>
      </c>
      <c r="C32" s="89"/>
      <c r="D32" s="84" t="str" cm="1">
        <f t="array" ref="D32">_xlfn.IFS(C32=1,"0.5", C32=2,"1", C32=3,"1.5",C32=4,"2", C32=0,"0")</f>
        <v>0</v>
      </c>
    </row>
    <row r="33" spans="2:17" x14ac:dyDescent="0.35">
      <c r="B33" s="55" t="s">
        <v>170</v>
      </c>
      <c r="C33" s="89"/>
      <c r="D33" s="84" t="str" cm="1">
        <f t="array" ref="D33">_xlfn.IFS(C33=1,"0.5", C33=2,"1", C33=3,"1.5",C33=4,"2", C33=0,"0")</f>
        <v>0</v>
      </c>
    </row>
    <row r="34" spans="2:17" x14ac:dyDescent="0.35">
      <c r="B34" s="55" t="s">
        <v>26</v>
      </c>
      <c r="C34" s="90"/>
      <c r="D34" s="84" t="str" cm="1">
        <f t="array" ref="D34">_xlfn.IFS(C34="", "0", C34=Sheet2!D3, "1", C34=Sheet2!D4, "1", C34=Sheet2!D5, "1", C34=Sheet2!D6, "1", C34=Sheet2!D7, "1", C34=Sheet2!D8, "2", C34=Sheet2!D9, "2", C34=Sheet2!D10, "2", C34=Sheet2!D11, "2", C34=Sheet2!D12, "2", C34=Sheet2!D13, "2", C34=Sheet2!D14, "3", C34=Sheet2!D15, "3", C34=Sheet2!D16, "3", C34=Sheet2!D17, "3", C34=Sheet2!D18, "3", C34=Sheet2!D19, "3", C34=Sheet2!D20, "3", C34=Sheet2!D21, "0")</f>
        <v>0</v>
      </c>
    </row>
    <row r="35" spans="2:17" ht="29" x14ac:dyDescent="0.35">
      <c r="B35" s="55" t="s">
        <v>48</v>
      </c>
      <c r="C35" s="89"/>
      <c r="D35" s="83">
        <f>IF(C35="yes", 1, 0)</f>
        <v>0</v>
      </c>
    </row>
    <row r="36" spans="2:17" x14ac:dyDescent="0.35">
      <c r="B36" s="55" t="s">
        <v>18</v>
      </c>
      <c r="C36" s="90"/>
      <c r="D36" s="83">
        <f>IF(OR(C36="displacement with no mitigation", C36=""), 0, 1)</f>
        <v>0</v>
      </c>
      <c r="E36" s="23"/>
    </row>
    <row r="37" spans="2:17" x14ac:dyDescent="0.35">
      <c r="D37" s="13"/>
    </row>
    <row r="38" spans="2:17" ht="29" x14ac:dyDescent="0.35">
      <c r="B38" s="39" t="s">
        <v>119</v>
      </c>
      <c r="C38" s="41" t="s">
        <v>93</v>
      </c>
      <c r="D38" s="41" t="s">
        <v>2</v>
      </c>
    </row>
    <row r="39" spans="2:17" x14ac:dyDescent="0.35">
      <c r="B39" s="8" t="s">
        <v>141</v>
      </c>
      <c r="C39" s="90"/>
      <c r="D39" s="13">
        <f>IFERROR(IF(C41&gt;=20%,C48*C41,0),0)</f>
        <v>0</v>
      </c>
      <c r="F39" s="76"/>
      <c r="M39" s="43"/>
      <c r="Q39" s="46"/>
    </row>
    <row r="40" spans="2:17" x14ac:dyDescent="0.35">
      <c r="B40" s="77" t="s">
        <v>82</v>
      </c>
      <c r="C40" s="90"/>
      <c r="D40" s="13"/>
      <c r="F40" s="76"/>
      <c r="M40" s="43"/>
    </row>
    <row r="41" spans="2:17" x14ac:dyDescent="0.35">
      <c r="B41" s="6" t="s">
        <v>142</v>
      </c>
      <c r="C41" s="72">
        <f>IFERROR(C40/C6,0)</f>
        <v>0</v>
      </c>
      <c r="D41" s="13"/>
    </row>
    <row r="42" spans="2:17" x14ac:dyDescent="0.35">
      <c r="B42" s="8" t="s">
        <v>143</v>
      </c>
      <c r="C42" s="90"/>
      <c r="D42" s="13">
        <f>IFERROR(IF(C44&gt;=20%,1,0),0)</f>
        <v>0</v>
      </c>
      <c r="F42" s="76"/>
      <c r="M42" s="43"/>
      <c r="Q42" s="46"/>
    </row>
    <row r="43" spans="2:17" x14ac:dyDescent="0.35">
      <c r="B43" s="77" t="s">
        <v>82</v>
      </c>
      <c r="C43" s="90"/>
      <c r="D43" s="13"/>
      <c r="F43" s="76"/>
      <c r="M43" s="43"/>
    </row>
    <row r="44" spans="2:17" x14ac:dyDescent="0.35">
      <c r="B44" s="6" t="s">
        <v>142</v>
      </c>
      <c r="C44" s="72">
        <f>IFERROR(C43/C6,0)</f>
        <v>0</v>
      </c>
      <c r="D44" s="13"/>
    </row>
    <row r="45" spans="2:17" x14ac:dyDescent="0.35">
      <c r="B45" s="8" t="s">
        <v>144</v>
      </c>
      <c r="C45" s="90"/>
      <c r="D45" s="13">
        <f>IFERROR(IF(C47&gt;=20%,C50*C47,0),0)</f>
        <v>0</v>
      </c>
      <c r="F45" s="76"/>
      <c r="M45" s="43"/>
      <c r="Q45" s="46"/>
    </row>
    <row r="46" spans="2:17" x14ac:dyDescent="0.35">
      <c r="B46" s="77" t="s">
        <v>82</v>
      </c>
      <c r="C46" s="90"/>
      <c r="D46" s="13"/>
      <c r="F46" s="76"/>
      <c r="M46" s="43"/>
    </row>
    <row r="47" spans="2:17" x14ac:dyDescent="0.35">
      <c r="B47" s="6" t="s">
        <v>142</v>
      </c>
      <c r="C47" s="72">
        <f>IFERROR(C46/C6,0)</f>
        <v>0</v>
      </c>
      <c r="D47" s="13"/>
    </row>
    <row r="48" spans="2:17" hidden="1" x14ac:dyDescent="0.35">
      <c r="B48" s="78" t="s">
        <v>145</v>
      </c>
      <c r="C48" s="21" cm="1">
        <f t="array" ref="C48">_xlfn.IFS(C39="", 0, C39="NA", 0, C39=Sheet2!A40,5)</f>
        <v>0</v>
      </c>
      <c r="D48" s="13"/>
    </row>
    <row r="49" spans="2:21" hidden="1" x14ac:dyDescent="0.35">
      <c r="B49" s="78" t="s">
        <v>146</v>
      </c>
      <c r="C49" s="21" cm="1">
        <f t="array" ref="C49">_xlfn.IFS(C42="", 0, C42="NA", 0, C42=Sheet2!A43,1)</f>
        <v>0</v>
      </c>
      <c r="D49" s="13"/>
    </row>
    <row r="50" spans="2:21" hidden="1" x14ac:dyDescent="0.35">
      <c r="B50" s="78" t="s">
        <v>147</v>
      </c>
      <c r="C50" s="21" cm="1">
        <f t="array" ref="C50">_xlfn.IFS(C45="",0,C45="NA",0,C45=Sheet2!A46,1,C45=Sheet2!A47,2,C45=Sheet2!A48,3,C45=Sheet2!A49,4)</f>
        <v>0</v>
      </c>
      <c r="D50" s="13"/>
      <c r="F50" s="23"/>
    </row>
    <row r="51" spans="2:21" x14ac:dyDescent="0.35">
      <c r="B51" s="1"/>
      <c r="D51" s="13"/>
    </row>
    <row r="52" spans="2:21" ht="29" x14ac:dyDescent="0.35">
      <c r="B52" s="39" t="s">
        <v>121</v>
      </c>
      <c r="C52" s="41" t="s">
        <v>28</v>
      </c>
      <c r="D52" s="41" t="s">
        <v>2</v>
      </c>
    </row>
    <row r="53" spans="2:21" x14ac:dyDescent="0.35">
      <c r="B53" s="25" t="s">
        <v>87</v>
      </c>
      <c r="C53" s="89"/>
      <c r="D53" s="17">
        <f t="shared" ref="D53" si="0">IF(C53="yes", 5, 0)</f>
        <v>0</v>
      </c>
    </row>
    <row r="54" spans="2:21" x14ac:dyDescent="0.35">
      <c r="B54" s="25"/>
      <c r="C54" s="17"/>
      <c r="D54" s="17"/>
    </row>
    <row r="55" spans="2:21" ht="29" x14ac:dyDescent="0.35">
      <c r="B55" s="39" t="s">
        <v>122</v>
      </c>
      <c r="C55" s="41" t="s">
        <v>28</v>
      </c>
      <c r="D55" s="41" t="s">
        <v>2</v>
      </c>
    </row>
    <row r="56" spans="2:21" ht="29" x14ac:dyDescent="0.35">
      <c r="B56" s="47" t="s">
        <v>108</v>
      </c>
      <c r="C56" s="89"/>
      <c r="D56" s="13" cm="1">
        <f t="array" ref="D56">IFERROR(_xlfn.IFS(C58&lt;20%, 0, C58&gt;=20%, C57/C6*C59),0)</f>
        <v>0</v>
      </c>
    </row>
    <row r="57" spans="2:21" x14ac:dyDescent="0.35">
      <c r="B57" s="47" t="s">
        <v>109</v>
      </c>
      <c r="C57" s="89"/>
      <c r="D57" s="17"/>
    </row>
    <row r="58" spans="2:21" x14ac:dyDescent="0.35">
      <c r="B58" s="47" t="s">
        <v>110</v>
      </c>
      <c r="C58" s="72">
        <f>IFERROR(C57/C6,0)</f>
        <v>0</v>
      </c>
      <c r="D58" s="17"/>
    </row>
    <row r="59" spans="2:21" hidden="1" x14ac:dyDescent="0.35">
      <c r="B59" s="65" t="s">
        <v>60</v>
      </c>
      <c r="C59" s="48">
        <f>IF(C56="yes", 7, 0)</f>
        <v>0</v>
      </c>
      <c r="D59" s="17"/>
    </row>
    <row r="60" spans="2:21" x14ac:dyDescent="0.35">
      <c r="B60" s="1"/>
      <c r="D60" s="17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</row>
    <row r="61" spans="2:21" ht="29" x14ac:dyDescent="0.35">
      <c r="B61" s="73" t="s">
        <v>123</v>
      </c>
      <c r="C61" s="41" t="s">
        <v>93</v>
      </c>
      <c r="D61" s="41" t="s">
        <v>2</v>
      </c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</row>
    <row r="62" spans="2:21" ht="39" x14ac:dyDescent="0.35">
      <c r="B62" s="47" t="s">
        <v>86</v>
      </c>
      <c r="C62" s="89"/>
      <c r="D62" s="17">
        <f>IFERROR(IF(AND(C62="yes", C64&gt;=20%), C68, 0),0)</f>
        <v>0</v>
      </c>
      <c r="F62" s="44"/>
      <c r="G62" s="44"/>
      <c r="H62" s="44"/>
      <c r="I62" s="44"/>
      <c r="J62" s="44"/>
      <c r="K62" s="43"/>
      <c r="L62" s="43"/>
      <c r="M62" s="43"/>
      <c r="N62" s="43"/>
      <c r="O62" s="43"/>
      <c r="P62" s="43"/>
      <c r="Q62" s="46"/>
    </row>
    <row r="63" spans="2:21" x14ac:dyDescent="0.35">
      <c r="B63" s="56" t="s">
        <v>51</v>
      </c>
      <c r="C63" s="89"/>
      <c r="D63" s="17"/>
      <c r="F63" s="44"/>
      <c r="G63" s="44"/>
      <c r="H63" s="44"/>
      <c r="I63" s="44"/>
      <c r="J63" s="44"/>
      <c r="K63" s="43"/>
      <c r="L63" s="43"/>
      <c r="M63" s="43"/>
      <c r="N63" s="43"/>
      <c r="O63" s="43"/>
      <c r="P63" s="43"/>
    </row>
    <row r="64" spans="2:21" x14ac:dyDescent="0.35">
      <c r="B64" s="56" t="s">
        <v>104</v>
      </c>
      <c r="C64" s="72">
        <f>IFERROR(C63/(C6-C9),0)</f>
        <v>0</v>
      </c>
      <c r="D64" s="17"/>
      <c r="F64" s="44"/>
      <c r="G64" s="43"/>
      <c r="H64" s="43"/>
      <c r="I64" s="43"/>
      <c r="J64" s="43"/>
      <c r="K64" s="43"/>
      <c r="L64" s="43"/>
      <c r="M64" s="43"/>
      <c r="N64" s="43"/>
      <c r="O64" s="43"/>
      <c r="P64" s="43"/>
      <c r="U64" s="46"/>
    </row>
    <row r="65" spans="2:21" hidden="1" x14ac:dyDescent="0.35">
      <c r="B65" s="18" t="s">
        <v>52</v>
      </c>
      <c r="C65" s="19">
        <f>C63-((C6-C9)*Sheet2!B27)</f>
        <v>0</v>
      </c>
      <c r="D65" s="17"/>
      <c r="E65" s="25"/>
      <c r="F65" s="20"/>
    </row>
    <row r="66" spans="2:21" hidden="1" x14ac:dyDescent="0.35">
      <c r="B66" s="18" t="s">
        <v>53</v>
      </c>
      <c r="C66" s="19">
        <f>IFERROR(C65/((C6-C9)*Sheet2!B28),0)</f>
        <v>0</v>
      </c>
      <c r="D66" s="17"/>
      <c r="E66" s="25"/>
      <c r="F66" s="25"/>
    </row>
    <row r="67" spans="2:21" hidden="1" x14ac:dyDescent="0.35">
      <c r="B67" s="18" t="s">
        <v>54</v>
      </c>
      <c r="C67" s="19">
        <f>C66*Sheet2!B30</f>
        <v>0</v>
      </c>
      <c r="D67" s="16"/>
      <c r="E67" s="15"/>
      <c r="F67" s="25"/>
    </row>
    <row r="68" spans="2:21" hidden="1" x14ac:dyDescent="0.35">
      <c r="B68" s="27" t="s">
        <v>55</v>
      </c>
      <c r="C68" s="28">
        <f>C67+Sheet2!B30</f>
        <v>3</v>
      </c>
      <c r="D68" s="16"/>
      <c r="E68" s="15"/>
      <c r="F68" s="25"/>
    </row>
    <row r="69" spans="2:21" x14ac:dyDescent="0.35">
      <c r="B69" s="7"/>
      <c r="C69" s="10"/>
      <c r="D69" s="2"/>
      <c r="E69" s="1"/>
    </row>
    <row r="70" spans="2:21" ht="29" x14ac:dyDescent="0.35">
      <c r="B70" s="74" t="s">
        <v>124</v>
      </c>
      <c r="C70" s="41" t="s">
        <v>93</v>
      </c>
      <c r="D70" s="41" t="s">
        <v>2</v>
      </c>
      <c r="E70" s="1"/>
    </row>
    <row r="71" spans="2:21" ht="39" x14ac:dyDescent="0.35">
      <c r="B71" s="62" t="s">
        <v>96</v>
      </c>
      <c r="C71" s="89"/>
      <c r="D71" s="17">
        <f>IFERROR(IF(AND(C71="yes",C64&lt;=20%,C73&gt;=20%),C74,0),0)</f>
        <v>0</v>
      </c>
      <c r="E71" s="1"/>
      <c r="F71" s="24"/>
      <c r="G71" s="25"/>
      <c r="H71" s="37"/>
      <c r="I71" s="25"/>
      <c r="J71" s="25"/>
      <c r="K71" s="25"/>
      <c r="L71" s="25"/>
      <c r="M71" s="37"/>
      <c r="N71" s="25"/>
    </row>
    <row r="72" spans="2:21" x14ac:dyDescent="0.35">
      <c r="B72" s="56" t="s">
        <v>76</v>
      </c>
      <c r="C72" s="92"/>
      <c r="D72" s="2"/>
      <c r="E72" s="1"/>
      <c r="F72" s="24"/>
    </row>
    <row r="73" spans="2:21" x14ac:dyDescent="0.35">
      <c r="B73" s="56" t="s">
        <v>105</v>
      </c>
      <c r="C73" s="57">
        <f>IFERROR(C72/(C6-C9),0)</f>
        <v>0</v>
      </c>
      <c r="D73" s="2"/>
      <c r="E73" s="1"/>
      <c r="F73" s="44"/>
      <c r="G73" s="43"/>
      <c r="H73" s="43"/>
      <c r="I73" s="43"/>
      <c r="J73" s="43"/>
      <c r="K73" s="43"/>
      <c r="U73" s="46"/>
    </row>
    <row r="74" spans="2:21" hidden="1" x14ac:dyDescent="0.35">
      <c r="B74" s="64" t="s">
        <v>60</v>
      </c>
      <c r="C74" s="48">
        <f>IFERROR(C72/(C6-C9)*5,0)</f>
        <v>0</v>
      </c>
      <c r="D74" s="16"/>
      <c r="E74" s="15"/>
      <c r="F74" s="20"/>
    </row>
    <row r="75" spans="2:21" x14ac:dyDescent="0.35">
      <c r="B75" s="6"/>
      <c r="C75" s="1"/>
      <c r="D75" s="2"/>
      <c r="E75" s="1"/>
    </row>
    <row r="76" spans="2:21" ht="29" x14ac:dyDescent="0.35">
      <c r="B76" s="73" t="s">
        <v>125</v>
      </c>
      <c r="C76" s="41" t="s">
        <v>28</v>
      </c>
      <c r="D76" s="41" t="s">
        <v>2</v>
      </c>
      <c r="E76" s="1"/>
    </row>
    <row r="77" spans="2:21" x14ac:dyDescent="0.35">
      <c r="B77" s="8" t="s">
        <v>126</v>
      </c>
      <c r="C77" s="89"/>
      <c r="D77" s="17" cm="1">
        <f t="array" ref="D77">_xlfn.IFS(C77="Arizona", 8, C77="", 0, C77="California", 5, C77="Nevada", 5)</f>
        <v>0</v>
      </c>
      <c r="E77" s="1"/>
      <c r="F77" s="24"/>
    </row>
    <row r="78" spans="2:21" x14ac:dyDescent="0.35">
      <c r="B78" s="6"/>
      <c r="C78" s="1"/>
      <c r="D78" s="16"/>
      <c r="E78" s="1"/>
      <c r="F78" s="37"/>
    </row>
    <row r="79" spans="2:21" ht="29" x14ac:dyDescent="0.35">
      <c r="B79" s="73" t="s">
        <v>127</v>
      </c>
      <c r="C79" s="41" t="s">
        <v>93</v>
      </c>
      <c r="D79" s="41" t="s">
        <v>2</v>
      </c>
      <c r="E79" s="1"/>
      <c r="F79" s="37"/>
    </row>
    <row r="80" spans="2:21" x14ac:dyDescent="0.35">
      <c r="B80" s="8" t="s">
        <v>134</v>
      </c>
      <c r="C80" s="92"/>
      <c r="D80" s="17" cm="1">
        <f t="array" ref="D80">_xlfn.IFS(C80="no",0,C82&lt;20%,0,C82="",0,C82&gt;=20%,3)</f>
        <v>0</v>
      </c>
      <c r="F80" s="24"/>
      <c r="H80" s="46"/>
    </row>
    <row r="81" spans="2:6" x14ac:dyDescent="0.35">
      <c r="B81" s="56" t="s">
        <v>139</v>
      </c>
      <c r="C81" s="92"/>
      <c r="D81" s="16"/>
      <c r="E81" s="1"/>
      <c r="F81" s="37"/>
    </row>
    <row r="82" spans="2:6" x14ac:dyDescent="0.35">
      <c r="B82" s="56" t="s">
        <v>61</v>
      </c>
      <c r="C82" s="57">
        <f>IF(C7=0,0,C81/C7)</f>
        <v>0</v>
      </c>
      <c r="D82" s="16"/>
      <c r="E82" s="1"/>
    </row>
    <row r="83" spans="2:6" x14ac:dyDescent="0.35">
      <c r="B83" s="6"/>
      <c r="C83" s="1"/>
      <c r="D83" s="16"/>
      <c r="E83" s="1"/>
    </row>
    <row r="84" spans="2:6" ht="29" x14ac:dyDescent="0.35">
      <c r="B84" s="75" t="s">
        <v>128</v>
      </c>
      <c r="C84" s="41" t="s">
        <v>28</v>
      </c>
      <c r="D84" s="41" t="s">
        <v>2</v>
      </c>
      <c r="E84" s="1"/>
    </row>
    <row r="85" spans="2:6" x14ac:dyDescent="0.35">
      <c r="B85" s="8" t="s">
        <v>88</v>
      </c>
      <c r="C85" s="89"/>
      <c r="D85" s="17">
        <f t="shared" ref="D85" si="1">IF(C85="yes", 5, 0)</f>
        <v>0</v>
      </c>
    </row>
    <row r="86" spans="2:6" x14ac:dyDescent="0.35">
      <c r="B86" s="13"/>
      <c r="D86" s="17"/>
    </row>
    <row r="87" spans="2:6" ht="29" x14ac:dyDescent="0.35">
      <c r="B87" s="75" t="s">
        <v>129</v>
      </c>
      <c r="C87" s="41" t="s">
        <v>28</v>
      </c>
      <c r="D87" s="41" t="s">
        <v>2</v>
      </c>
    </row>
    <row r="88" spans="2:6" x14ac:dyDescent="0.35">
      <c r="B88" s="94" t="s">
        <v>153</v>
      </c>
      <c r="C88" s="94"/>
      <c r="D88" s="17">
        <f>MIN(COUNTIF(C89:C96,"yes"),4)</f>
        <v>0</v>
      </c>
    </row>
    <row r="89" spans="2:6" x14ac:dyDescent="0.35">
      <c r="B89" s="81" t="s">
        <v>154</v>
      </c>
      <c r="C89" s="90"/>
      <c r="D89" s="17"/>
    </row>
    <row r="90" spans="2:6" x14ac:dyDescent="0.35">
      <c r="B90" s="81" t="s">
        <v>155</v>
      </c>
      <c r="C90" s="90"/>
      <c r="D90" s="17"/>
    </row>
    <row r="91" spans="2:6" x14ac:dyDescent="0.35">
      <c r="B91" s="81" t="s">
        <v>156</v>
      </c>
      <c r="C91" s="90"/>
      <c r="D91" s="17"/>
    </row>
    <row r="92" spans="2:6" x14ac:dyDescent="0.35">
      <c r="B92" s="81" t="s">
        <v>157</v>
      </c>
      <c r="C92" s="90"/>
      <c r="D92" s="17"/>
    </row>
    <row r="93" spans="2:6" x14ac:dyDescent="0.35">
      <c r="B93" s="81" t="s">
        <v>158</v>
      </c>
      <c r="C93" s="90"/>
      <c r="D93" s="17"/>
    </row>
    <row r="94" spans="2:6" x14ac:dyDescent="0.35">
      <c r="B94" s="81" t="s">
        <v>159</v>
      </c>
      <c r="C94" s="90"/>
      <c r="D94" s="17"/>
    </row>
    <row r="95" spans="2:6" x14ac:dyDescent="0.35">
      <c r="B95" s="81" t="s">
        <v>160</v>
      </c>
      <c r="C95" s="90"/>
      <c r="D95" s="17"/>
    </row>
    <row r="96" spans="2:6" x14ac:dyDescent="0.35">
      <c r="B96" s="81" t="s">
        <v>161</v>
      </c>
      <c r="C96" s="90"/>
      <c r="D96" s="17"/>
    </row>
    <row r="97" spans="2:17" hidden="1" x14ac:dyDescent="0.35">
      <c r="B97" s="23" t="s">
        <v>162</v>
      </c>
      <c r="C97" s="91"/>
      <c r="D97" s="17"/>
    </row>
    <row r="98" spans="2:17" x14ac:dyDescent="0.35">
      <c r="B98" s="58" t="s">
        <v>89</v>
      </c>
      <c r="C98" s="90"/>
      <c r="D98" s="17" cm="1">
        <f t="array" ref="D98">_xlfn.IFS(C98="", 0, C98=Sheet2!D33, 0, C98=Sheet2!D34, 3, C98=Sheet2!D35, 3)</f>
        <v>0</v>
      </c>
    </row>
    <row r="99" spans="2:17" x14ac:dyDescent="0.35">
      <c r="B99" s="13"/>
      <c r="D99" s="17"/>
    </row>
    <row r="100" spans="2:17" ht="29" x14ac:dyDescent="0.35">
      <c r="B100" s="75" t="s">
        <v>130</v>
      </c>
      <c r="C100" s="41" t="s">
        <v>93</v>
      </c>
      <c r="D100" s="41" t="s">
        <v>2</v>
      </c>
    </row>
    <row r="101" spans="2:17" x14ac:dyDescent="0.35">
      <c r="B101" s="8" t="s">
        <v>148</v>
      </c>
      <c r="C101" s="90"/>
      <c r="D101" s="85"/>
      <c r="F101" s="76"/>
      <c r="G101" s="46"/>
    </row>
    <row r="102" spans="2:17" x14ac:dyDescent="0.35">
      <c r="B102" s="79" t="s">
        <v>149</v>
      </c>
      <c r="C102" s="89"/>
      <c r="F102" s="46"/>
      <c r="I102" s="46"/>
    </row>
    <row r="103" spans="2:17" x14ac:dyDescent="0.35">
      <c r="B103" s="79" t="s">
        <v>142</v>
      </c>
      <c r="C103" s="72">
        <f>IFERROR(C102/C6,0)</f>
        <v>0</v>
      </c>
    </row>
    <row r="104" spans="2:17" x14ac:dyDescent="0.35">
      <c r="B104" s="80" t="s">
        <v>150</v>
      </c>
      <c r="C104" s="90"/>
      <c r="D104" s="85"/>
      <c r="G104" s="46"/>
    </row>
    <row r="105" spans="2:17" x14ac:dyDescent="0.35">
      <c r="B105" s="79" t="s">
        <v>151</v>
      </c>
      <c r="C105" s="89"/>
      <c r="F105" s="46"/>
      <c r="I105" s="46"/>
    </row>
    <row r="106" spans="2:17" x14ac:dyDescent="0.35">
      <c r="B106" s="79" t="s">
        <v>142</v>
      </c>
      <c r="C106" s="72">
        <f>IFERROR(C105/C6,0)</f>
        <v>0</v>
      </c>
    </row>
    <row r="107" spans="2:17" hidden="1" x14ac:dyDescent="0.35">
      <c r="B107" s="31" t="s">
        <v>80</v>
      </c>
      <c r="C107" s="21">
        <f>IF(C101="yes",C102/C6*3,0)</f>
        <v>0</v>
      </c>
      <c r="D107" s="13"/>
      <c r="F107" s="23"/>
    </row>
    <row r="108" spans="2:17" hidden="1" x14ac:dyDescent="0.35">
      <c r="B108" s="31" t="s">
        <v>81</v>
      </c>
      <c r="C108" s="21">
        <f>IF(C104="yes",C105/C6*2,0)</f>
        <v>0</v>
      </c>
      <c r="D108" s="13"/>
    </row>
    <row r="109" spans="2:17" x14ac:dyDescent="0.35">
      <c r="B109" s="86" t="s">
        <v>164</v>
      </c>
      <c r="C109" s="21"/>
      <c r="D109" s="13">
        <f>MIN(SUM(C107:C108),3)</f>
        <v>0</v>
      </c>
    </row>
    <row r="110" spans="2:17" ht="39" x14ac:dyDescent="0.35">
      <c r="B110" s="80" t="s">
        <v>152</v>
      </c>
      <c r="C110" s="89"/>
      <c r="D110" s="82">
        <f>IF(AND(C110="yes",C104&lt;&gt;"yes"),3,0)</f>
        <v>0</v>
      </c>
      <c r="F110" s="45"/>
      <c r="Q110" s="46"/>
    </row>
    <row r="111" spans="2:17" x14ac:dyDescent="0.35">
      <c r="D111" s="17"/>
    </row>
    <row r="112" spans="2:17" ht="29" x14ac:dyDescent="0.35">
      <c r="B112" s="75" t="s">
        <v>131</v>
      </c>
      <c r="C112" s="41" t="s">
        <v>93</v>
      </c>
      <c r="D112" s="41" t="s">
        <v>2</v>
      </c>
    </row>
    <row r="113" spans="2:18" x14ac:dyDescent="0.35">
      <c r="B113" s="8" t="s">
        <v>92</v>
      </c>
      <c r="C113" s="89"/>
      <c r="D113" s="13" cm="1">
        <f t="array" ref="D113">IFERROR(_xlfn.IFS(C115&lt;20%, 0, C115&gt;=20%, C116*C115),0)</f>
        <v>0</v>
      </c>
    </row>
    <row r="114" spans="2:18" x14ac:dyDescent="0.35">
      <c r="B114" s="8" t="s">
        <v>90</v>
      </c>
      <c r="C114" s="89"/>
      <c r="D114" s="17"/>
    </row>
    <row r="115" spans="2:18" x14ac:dyDescent="0.35">
      <c r="B115" s="8" t="s">
        <v>91</v>
      </c>
      <c r="C115" s="72">
        <f>IFERROR(C114/C6,0)</f>
        <v>0</v>
      </c>
      <c r="D115" s="17"/>
    </row>
    <row r="116" spans="2:18" hidden="1" x14ac:dyDescent="0.35">
      <c r="B116" s="63" t="s">
        <v>60</v>
      </c>
      <c r="C116" s="48">
        <f>IF(C113="yes", 5, 0)</f>
        <v>0</v>
      </c>
      <c r="D116" s="17"/>
    </row>
    <row r="117" spans="2:18" x14ac:dyDescent="0.35">
      <c r="B117" s="13"/>
      <c r="D117" s="13"/>
    </row>
    <row r="118" spans="2:18" x14ac:dyDescent="0.35">
      <c r="B118" s="75" t="s">
        <v>132</v>
      </c>
      <c r="C118" s="38"/>
      <c r="D118" s="41" t="s">
        <v>2</v>
      </c>
      <c r="F118" s="24"/>
      <c r="R118" s="46"/>
    </row>
    <row r="119" spans="2:18" s="9" customFormat="1" ht="27" x14ac:dyDescent="0.35">
      <c r="B119" s="71" t="s">
        <v>118</v>
      </c>
      <c r="C119" s="68" t="str">
        <f>IFERROR(C10/C7,"")</f>
        <v/>
      </c>
      <c r="D119" s="87">
        <f>IFERROR(C120,0)</f>
        <v>0</v>
      </c>
      <c r="F119" s="42"/>
    </row>
    <row r="120" spans="2:18" s="9" customFormat="1" hidden="1" x14ac:dyDescent="0.35">
      <c r="B120" s="66" t="s">
        <v>117</v>
      </c>
      <c r="C120" s="67">
        <f>IF(C119&lt;=60000, 4, IF(C119&lt;=100000, 3, 0))</f>
        <v>0</v>
      </c>
    </row>
    <row r="122" spans="2:18" x14ac:dyDescent="0.35">
      <c r="B122" s="75" t="s">
        <v>133</v>
      </c>
      <c r="C122" s="38"/>
      <c r="D122" s="41" t="s">
        <v>2</v>
      </c>
      <c r="F122" s="24"/>
      <c r="R122" s="46"/>
    </row>
    <row r="123" spans="2:18" s="9" customFormat="1" x14ac:dyDescent="0.35">
      <c r="B123" s="59" t="s">
        <v>168</v>
      </c>
      <c r="C123" s="61" t="s">
        <v>82</v>
      </c>
      <c r="D123" s="87">
        <f>IF(C127&lt;&gt;C7,NA(),C130)</f>
        <v>0</v>
      </c>
      <c r="E123" s="10"/>
    </row>
    <row r="124" spans="2:18" s="9" customFormat="1" x14ac:dyDescent="0.35">
      <c r="B124" s="60" t="s">
        <v>113</v>
      </c>
      <c r="C124" s="88"/>
      <c r="E124" s="49"/>
      <c r="F124" s="50"/>
      <c r="G124" s="29"/>
    </row>
    <row r="125" spans="2:18" s="9" customFormat="1" x14ac:dyDescent="0.35">
      <c r="B125" s="60" t="s">
        <v>114</v>
      </c>
      <c r="C125" s="88"/>
      <c r="E125" s="49"/>
      <c r="F125" s="50"/>
    </row>
    <row r="126" spans="2:18" s="26" customFormat="1" hidden="1" x14ac:dyDescent="0.35">
      <c r="B126" s="26" t="s">
        <v>115</v>
      </c>
      <c r="C126" s="32">
        <f>C124</f>
        <v>0</v>
      </c>
    </row>
    <row r="127" spans="2:18" s="26" customFormat="1" hidden="1" x14ac:dyDescent="0.35">
      <c r="B127" s="26" t="s">
        <v>167</v>
      </c>
      <c r="C127" s="26">
        <f>SUM(C124:C125)</f>
        <v>0</v>
      </c>
    </row>
    <row r="128" spans="2:18" s="26" customFormat="1" hidden="1" x14ac:dyDescent="0.35">
      <c r="B128" s="26" t="s">
        <v>166</v>
      </c>
      <c r="C128" s="33">
        <f>IFERROR(C126/C127,0)</f>
        <v>0</v>
      </c>
    </row>
    <row r="129" spans="2:8" s="26" customFormat="1" hidden="1" x14ac:dyDescent="0.35">
      <c r="B129" s="26" t="s">
        <v>165</v>
      </c>
      <c r="C129" s="33">
        <f>IFERROR(SUM(C125:C125)/C127,0)</f>
        <v>0</v>
      </c>
    </row>
    <row r="130" spans="2:8" s="26" customFormat="1" hidden="1" x14ac:dyDescent="0.35">
      <c r="B130" s="34" t="s">
        <v>116</v>
      </c>
      <c r="C130" s="35">
        <f>IF(COUNTBLANK(C124:C125)&gt;0,0,IF(C128&gt;=20%,20,18))</f>
        <v>0</v>
      </c>
    </row>
    <row r="131" spans="2:8" s="26" customFormat="1" x14ac:dyDescent="0.35">
      <c r="B131" s="34"/>
      <c r="C131" s="35"/>
    </row>
    <row r="133" spans="2:8" ht="45" customHeight="1" x14ac:dyDescent="0.35">
      <c r="B133" s="93" t="s">
        <v>163</v>
      </c>
      <c r="C133" s="93"/>
      <c r="D133" s="93"/>
      <c r="E133" s="24"/>
      <c r="F133" s="24"/>
      <c r="G133" s="24"/>
      <c r="H133" s="24"/>
    </row>
  </sheetData>
  <sheetProtection algorithmName="SHA-512" hashValue="HWnGbEFdOsmrt5YHys8jhejgqCtMWtb32+gddQHgkk5oXq5b86V3yr8imwkGIRIBV1/udPcKphMriE5ExctWQA==" saltValue="4/h/gf/EXqlyxvgjWxT/7Q==" spinCount="100000" sheet="1" objects="1" scenarios="1"/>
  <mergeCells count="10">
    <mergeCell ref="B133:D133"/>
    <mergeCell ref="B88:C88"/>
    <mergeCell ref="C9:D9"/>
    <mergeCell ref="C10:D10"/>
    <mergeCell ref="B2:D2"/>
    <mergeCell ref="C5:D5"/>
    <mergeCell ref="C4:D4"/>
    <mergeCell ref="C6:D6"/>
    <mergeCell ref="C7:D7"/>
    <mergeCell ref="C8:D8"/>
  </mergeCells>
  <conditionalFormatting sqref="C71:D72">
    <cfRule type="expression" dxfId="2" priority="7">
      <formula>AND($C$62="yes", $C$64&gt;=20%)</formula>
    </cfRule>
  </conditionalFormatting>
  <conditionalFormatting sqref="C110:D110">
    <cfRule type="expression" dxfId="1" priority="2">
      <formula>$C$104="yes"</formula>
    </cfRule>
  </conditionalFormatting>
  <conditionalFormatting sqref="C119:D119">
    <cfRule type="expression" dxfId="0" priority="1">
      <formula>AND($C$119&lt;&gt;"",$C$119&gt;100000)</formula>
    </cfRule>
  </conditionalFormatting>
  <pageMargins left="0.7" right="0.7" top="0.75" bottom="0.75" header="0.3" footer="0.3"/>
  <pageSetup orientation="portrait" horizontalDpi="1200" verticalDpi="1200" r:id="rId1"/>
  <headerFooter>
    <oddFooter>&amp;L_x000D_&amp;1#&amp;"Calibri"&amp;9&amp;K0000FF FHLBank San Francisco | Confidential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A7266299-49D0-414D-B906-3BC41C7ECAB7}">
          <x14:formula1>
            <xm:f>Sheet2!$D$3:$D$22</xm:f>
          </x14:formula1>
          <xm:sqref>C34</xm:sqref>
        </x14:dataValidation>
        <x14:dataValidation type="list" allowBlank="1" showInputMessage="1" showErrorMessage="1" xr:uid="{B9FB86B8-C0EB-4021-8335-B943563074C3}">
          <x14:formula1>
            <xm:f>Sheet2!$A$23:$A$24</xm:f>
          </x14:formula1>
          <xm:sqref>C60</xm:sqref>
        </x14:dataValidation>
        <x14:dataValidation type="list" allowBlank="1" showInputMessage="1" showErrorMessage="1" xr:uid="{A5D55348-E0F4-4D3A-8FD4-26936833FCB1}">
          <x14:formula1>
            <xm:f>Sheet2!$A$22:$A$24</xm:f>
          </x14:formula1>
          <xm:sqref>C71 C62 C113 C80 C85 C53 C56</xm:sqref>
        </x14:dataValidation>
        <x14:dataValidation type="list" allowBlank="1" showInputMessage="1" showErrorMessage="1" xr:uid="{144A61B2-5D4F-4FE8-B955-CE0D00197B26}">
          <x14:formula1>
            <xm:f>Sheet2!$F$3:$F$5</xm:f>
          </x14:formula1>
          <xm:sqref>C35</xm:sqref>
        </x14:dataValidation>
        <x14:dataValidation type="list" allowBlank="1" showInputMessage="1" showErrorMessage="1" xr:uid="{D6D72929-E64A-4AA6-8CDB-AC35051650FA}">
          <x14:formula1>
            <xm:f>Sheet2!$A$3:$A$7</xm:f>
          </x14:formula1>
          <xm:sqref>C30</xm:sqref>
        </x14:dataValidation>
        <x14:dataValidation type="list" allowBlank="1" showInputMessage="1" showErrorMessage="1" xr:uid="{8FD19A9B-71EA-444D-82A0-943C70BCD05B}">
          <x14:formula1>
            <xm:f>Sheet2!$B$3:$B$5</xm:f>
          </x14:formula1>
          <xm:sqref>C31</xm:sqref>
        </x14:dataValidation>
        <x14:dataValidation type="list" allowBlank="1" showInputMessage="1" showErrorMessage="1" xr:uid="{524AFCB9-A827-4CC9-BB6A-FF79AC9644CC}">
          <x14:formula1>
            <xm:f>Sheet2!$C$3:$C$8</xm:f>
          </x14:formula1>
          <xm:sqref>C32:C33</xm:sqref>
        </x14:dataValidation>
        <x14:dataValidation type="list" allowBlank="1" showInputMessage="1" showErrorMessage="1" xr:uid="{D6AF791F-8053-4ACD-BA74-ED911E033AFE}">
          <x14:formula1>
            <xm:f>Sheet2!$G$3:$G$6</xm:f>
          </x14:formula1>
          <xm:sqref>C36</xm:sqref>
        </x14:dataValidation>
        <x14:dataValidation type="list" allowBlank="1" showInputMessage="1" showErrorMessage="1" xr:uid="{DFE77871-3D42-4D25-8B7C-9B800D5E7917}">
          <x14:formula1>
            <xm:f>Sheet2!$D$33:$D$36</xm:f>
          </x14:formula1>
          <xm:sqref>C98</xm:sqref>
        </x14:dataValidation>
        <x14:dataValidation type="list" allowBlank="1" showInputMessage="1" showErrorMessage="1" xr:uid="{11D3BDC9-3900-455A-AC92-EEFC6962AC5D}">
          <x14:formula1>
            <xm:f>Sheet2!$A$17:$A$20</xm:f>
          </x14:formula1>
          <xm:sqref>C77</xm:sqref>
        </x14:dataValidation>
        <x14:dataValidation type="list" allowBlank="1" showInputMessage="1" showErrorMessage="1" xr:uid="{FEE060C7-C3B6-415B-9280-8384E89E2DD6}">
          <x14:formula1>
            <xm:f>Sheet2!$A$38:$A$40</xm:f>
          </x14:formula1>
          <xm:sqref>C39</xm:sqref>
        </x14:dataValidation>
        <x14:dataValidation type="list" allowBlank="1" showInputMessage="1" showErrorMessage="1" xr:uid="{7922C936-FE49-4064-AD0C-5DAD24585577}">
          <x14:formula1>
            <xm:f>Sheet2!$A$41:$A$43</xm:f>
          </x14:formula1>
          <xm:sqref>C42</xm:sqref>
        </x14:dataValidation>
        <x14:dataValidation type="list" allowBlank="1" showInputMessage="1" showErrorMessage="1" xr:uid="{A1660910-BCF7-4FBC-B83B-8303947E834B}">
          <x14:formula1>
            <xm:f>Sheet2!$A$44:$A$49</xm:f>
          </x14:formula1>
          <xm:sqref>C45</xm:sqref>
        </x14:dataValidation>
        <x14:dataValidation type="list" allowBlank="1" showInputMessage="1" showErrorMessage="1" xr:uid="{704B4786-ACD3-44BF-A5B4-2667B2284EBF}">
          <x14:formula1>
            <xm:f>Sheet2!$A$23:$A$25</xm:f>
          </x14:formula1>
          <xm:sqref>C101 C104 C110 C89:C96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E492D-DEE1-4F94-B752-FBF8277CDF05}">
  <dimension ref="A1:G59"/>
  <sheetViews>
    <sheetView topLeftCell="A13" workbookViewId="0">
      <selection activeCell="A46" sqref="A46"/>
    </sheetView>
  </sheetViews>
  <sheetFormatPr defaultRowHeight="14.5" x14ac:dyDescent="0.35"/>
  <cols>
    <col min="1" max="1" width="60.26953125" bestFit="1" customWidth="1"/>
    <col min="2" max="2" width="13" bestFit="1" customWidth="1"/>
    <col min="3" max="3" width="13" customWidth="1"/>
    <col min="4" max="4" width="46" bestFit="1" customWidth="1"/>
    <col min="5" max="6" width="46" customWidth="1"/>
    <col min="7" max="7" width="58.453125" bestFit="1" customWidth="1"/>
  </cols>
  <sheetData>
    <row r="1" spans="1:7" x14ac:dyDescent="0.35">
      <c r="A1" s="2" t="s">
        <v>3</v>
      </c>
      <c r="B1" s="1"/>
      <c r="C1" s="1"/>
      <c r="D1" s="1"/>
      <c r="E1" s="1"/>
      <c r="F1" s="1"/>
      <c r="G1" s="1"/>
    </row>
    <row r="2" spans="1:7" ht="72.5" x14ac:dyDescent="0.35">
      <c r="A2" s="3" t="s">
        <v>137</v>
      </c>
      <c r="B2" s="3" t="s">
        <v>138</v>
      </c>
      <c r="C2" s="3" t="s">
        <v>27</v>
      </c>
      <c r="D2" s="3" t="s">
        <v>26</v>
      </c>
      <c r="E2" s="3"/>
      <c r="F2" s="3" t="s">
        <v>47</v>
      </c>
      <c r="G2" s="3" t="s">
        <v>18</v>
      </c>
    </row>
    <row r="3" spans="1:7" x14ac:dyDescent="0.35">
      <c r="D3" s="1" t="s">
        <v>29</v>
      </c>
      <c r="E3" s="1">
        <v>1</v>
      </c>
    </row>
    <row r="4" spans="1:7" x14ac:dyDescent="0.35">
      <c r="A4" s="1" t="s">
        <v>19</v>
      </c>
      <c r="B4" s="1" t="s">
        <v>20</v>
      </c>
      <c r="C4" s="1">
        <v>1</v>
      </c>
      <c r="D4" s="1" t="s">
        <v>30</v>
      </c>
      <c r="E4" s="1">
        <v>1</v>
      </c>
      <c r="F4" s="1" t="s">
        <v>49</v>
      </c>
      <c r="G4" s="1" t="s">
        <v>21</v>
      </c>
    </row>
    <row r="5" spans="1:7" x14ac:dyDescent="0.35">
      <c r="A5" s="1" t="s">
        <v>140</v>
      </c>
      <c r="B5" s="1" t="s">
        <v>22</v>
      </c>
      <c r="C5" s="1">
        <v>2</v>
      </c>
      <c r="D5" s="1" t="s">
        <v>44</v>
      </c>
      <c r="E5" s="1">
        <v>1</v>
      </c>
      <c r="F5" s="1" t="s">
        <v>50</v>
      </c>
      <c r="G5" s="1" t="s">
        <v>23</v>
      </c>
    </row>
    <row r="6" spans="1:7" x14ac:dyDescent="0.35">
      <c r="A6" s="1" t="s">
        <v>16</v>
      </c>
      <c r="B6" s="1"/>
      <c r="C6" s="1">
        <v>3</v>
      </c>
      <c r="D6" s="1" t="s">
        <v>32</v>
      </c>
      <c r="E6" s="1">
        <v>1</v>
      </c>
      <c r="F6" s="1"/>
      <c r="G6" s="1" t="s">
        <v>24</v>
      </c>
    </row>
    <row r="7" spans="1:7" x14ac:dyDescent="0.35">
      <c r="A7" s="1" t="s">
        <v>17</v>
      </c>
      <c r="B7" s="1"/>
      <c r="C7" s="1">
        <v>4</v>
      </c>
      <c r="D7" s="1" t="s">
        <v>31</v>
      </c>
      <c r="E7" s="1">
        <v>1</v>
      </c>
      <c r="F7" s="1"/>
      <c r="G7" s="1"/>
    </row>
    <row r="8" spans="1:7" x14ac:dyDescent="0.35">
      <c r="A8" s="1"/>
      <c r="B8" s="1"/>
      <c r="C8" s="1">
        <v>0</v>
      </c>
      <c r="D8" s="1" t="s">
        <v>33</v>
      </c>
      <c r="E8" s="1">
        <v>2</v>
      </c>
      <c r="F8" s="1"/>
      <c r="G8" s="1"/>
    </row>
    <row r="9" spans="1:7" x14ac:dyDescent="0.35">
      <c r="A9" s="1"/>
      <c r="B9" s="1"/>
      <c r="C9" s="1"/>
      <c r="D9" s="1" t="s">
        <v>34</v>
      </c>
      <c r="E9" s="1">
        <v>2</v>
      </c>
      <c r="F9" s="1"/>
      <c r="G9" s="1"/>
    </row>
    <row r="10" spans="1:7" x14ac:dyDescent="0.35">
      <c r="D10" s="1" t="s">
        <v>45</v>
      </c>
      <c r="E10" s="1">
        <v>2</v>
      </c>
      <c r="F10" s="1"/>
    </row>
    <row r="11" spans="1:7" x14ac:dyDescent="0.35">
      <c r="D11" s="1" t="s">
        <v>35</v>
      </c>
      <c r="E11" s="1">
        <v>2</v>
      </c>
      <c r="F11" s="1"/>
    </row>
    <row r="12" spans="1:7" x14ac:dyDescent="0.35">
      <c r="D12" s="1" t="s">
        <v>36</v>
      </c>
      <c r="E12" s="1">
        <v>2</v>
      </c>
      <c r="F12" s="1"/>
    </row>
    <row r="13" spans="1:7" x14ac:dyDescent="0.35">
      <c r="D13" s="1" t="s">
        <v>37</v>
      </c>
      <c r="E13" s="1">
        <v>2</v>
      </c>
      <c r="F13" s="1"/>
    </row>
    <row r="14" spans="1:7" x14ac:dyDescent="0.35">
      <c r="D14" s="1" t="s">
        <v>38</v>
      </c>
      <c r="E14" s="1">
        <v>3</v>
      </c>
      <c r="F14" s="1"/>
    </row>
    <row r="15" spans="1:7" x14ac:dyDescent="0.35">
      <c r="D15" s="1" t="s">
        <v>39</v>
      </c>
      <c r="E15" s="1">
        <v>3</v>
      </c>
      <c r="F15" s="1"/>
    </row>
    <row r="16" spans="1:7" x14ac:dyDescent="0.35">
      <c r="D16" s="1" t="s">
        <v>46</v>
      </c>
      <c r="E16" s="1">
        <v>3</v>
      </c>
      <c r="F16" s="1"/>
    </row>
    <row r="17" spans="1:6" x14ac:dyDescent="0.35">
      <c r="D17" s="1" t="s">
        <v>40</v>
      </c>
      <c r="E17" s="1">
        <v>3</v>
      </c>
      <c r="F17" s="1"/>
    </row>
    <row r="18" spans="1:6" x14ac:dyDescent="0.35">
      <c r="A18" t="s">
        <v>77</v>
      </c>
      <c r="D18" s="1" t="s">
        <v>41</v>
      </c>
      <c r="E18" s="1">
        <v>3</v>
      </c>
      <c r="F18" s="1"/>
    </row>
    <row r="19" spans="1:6" x14ac:dyDescent="0.35">
      <c r="A19" t="s">
        <v>78</v>
      </c>
      <c r="D19" s="1" t="s">
        <v>42</v>
      </c>
      <c r="E19" s="1">
        <v>3</v>
      </c>
      <c r="F19" s="1"/>
    </row>
    <row r="20" spans="1:6" x14ac:dyDescent="0.35">
      <c r="A20" t="s">
        <v>79</v>
      </c>
      <c r="D20" s="1" t="s">
        <v>43</v>
      </c>
      <c r="E20" s="1">
        <v>3</v>
      </c>
      <c r="F20" s="1"/>
    </row>
    <row r="21" spans="1:6" x14ac:dyDescent="0.35">
      <c r="D21" s="1" t="s">
        <v>17</v>
      </c>
      <c r="E21" s="1">
        <v>0</v>
      </c>
      <c r="F21" s="1"/>
    </row>
    <row r="22" spans="1:6" x14ac:dyDescent="0.35">
      <c r="A22" s="4"/>
    </row>
    <row r="23" spans="1:6" x14ac:dyDescent="0.35">
      <c r="A23" t="s">
        <v>49</v>
      </c>
    </row>
    <row r="24" spans="1:6" x14ac:dyDescent="0.35">
      <c r="A24" t="s">
        <v>50</v>
      </c>
    </row>
    <row r="26" spans="1:6" x14ac:dyDescent="0.35">
      <c r="A26" s="13" t="s">
        <v>6</v>
      </c>
    </row>
    <row r="27" spans="1:6" x14ac:dyDescent="0.35">
      <c r="A27" s="8" t="s">
        <v>56</v>
      </c>
      <c r="B27" s="14">
        <v>0.2</v>
      </c>
      <c r="C27" s="5"/>
    </row>
    <row r="28" spans="1:6" x14ac:dyDescent="0.35">
      <c r="A28" s="8" t="s">
        <v>57</v>
      </c>
      <c r="B28" s="14">
        <v>0.8</v>
      </c>
      <c r="C28" s="5"/>
    </row>
    <row r="29" spans="1:6" x14ac:dyDescent="0.35">
      <c r="A29" s="8" t="s">
        <v>58</v>
      </c>
      <c r="B29" s="9">
        <v>6</v>
      </c>
      <c r="C29" s="5"/>
    </row>
    <row r="30" spans="1:6" x14ac:dyDescent="0.35">
      <c r="A30" s="8" t="s">
        <v>59</v>
      </c>
      <c r="B30" s="9">
        <v>3</v>
      </c>
      <c r="C30" s="5"/>
    </row>
    <row r="31" spans="1:6" x14ac:dyDescent="0.35">
      <c r="B31" s="8"/>
      <c r="C31" s="8"/>
      <c r="D31" s="8"/>
    </row>
    <row r="32" spans="1:6" x14ac:dyDescent="0.35">
      <c r="A32" s="13" t="s">
        <v>169</v>
      </c>
      <c r="B32" s="8"/>
      <c r="C32" s="8"/>
      <c r="D32" s="13" t="s">
        <v>65</v>
      </c>
    </row>
    <row r="33" spans="1:5" x14ac:dyDescent="0.35">
      <c r="A33" t="s">
        <v>64</v>
      </c>
      <c r="B33" s="8">
        <v>0</v>
      </c>
      <c r="C33" s="8"/>
      <c r="D33" s="8" t="s">
        <v>66</v>
      </c>
      <c r="E33">
        <v>0</v>
      </c>
    </row>
    <row r="34" spans="1:5" x14ac:dyDescent="0.35">
      <c r="A34" t="s">
        <v>63</v>
      </c>
      <c r="B34" s="8">
        <v>2</v>
      </c>
      <c r="C34" s="8"/>
      <c r="D34" s="8" t="s">
        <v>68</v>
      </c>
      <c r="E34">
        <v>3</v>
      </c>
    </row>
    <row r="35" spans="1:5" x14ac:dyDescent="0.35">
      <c r="A35" t="s">
        <v>62</v>
      </c>
      <c r="B35" s="8">
        <v>4</v>
      </c>
      <c r="C35" s="8"/>
      <c r="D35" s="8" t="s">
        <v>67</v>
      </c>
      <c r="E35">
        <v>3</v>
      </c>
    </row>
    <row r="36" spans="1:5" x14ac:dyDescent="0.35">
      <c r="B36" s="8"/>
      <c r="C36" s="8"/>
      <c r="D36" s="8"/>
    </row>
    <row r="37" spans="1:5" x14ac:dyDescent="0.35">
      <c r="A37" s="4" t="s">
        <v>4</v>
      </c>
      <c r="B37" s="8"/>
      <c r="C37" s="8"/>
      <c r="D37" s="8"/>
    </row>
    <row r="38" spans="1:5" x14ac:dyDescent="0.35">
      <c r="A38" s="4"/>
      <c r="B38" s="8"/>
      <c r="C38" s="8"/>
      <c r="D38" s="8"/>
    </row>
    <row r="39" spans="1:5" x14ac:dyDescent="0.35">
      <c r="A39" s="8" t="s">
        <v>103</v>
      </c>
      <c r="B39" s="8">
        <v>0</v>
      </c>
      <c r="C39" s="8"/>
      <c r="D39" s="8"/>
    </row>
    <row r="40" spans="1:5" x14ac:dyDescent="0.35">
      <c r="A40" s="8" t="s">
        <v>98</v>
      </c>
      <c r="B40" s="8">
        <v>5</v>
      </c>
      <c r="C40" s="8"/>
      <c r="D40" s="8"/>
    </row>
    <row r="41" spans="1:5" x14ac:dyDescent="0.35">
      <c r="A41" s="8"/>
      <c r="B41" s="8"/>
      <c r="C41" s="8"/>
      <c r="D41" s="8"/>
    </row>
    <row r="42" spans="1:5" x14ac:dyDescent="0.35">
      <c r="A42" s="8" t="s">
        <v>103</v>
      </c>
      <c r="B42" s="8"/>
      <c r="C42" s="8"/>
      <c r="D42" s="8"/>
    </row>
    <row r="43" spans="1:5" x14ac:dyDescent="0.35">
      <c r="A43" t="s">
        <v>97</v>
      </c>
      <c r="B43" s="8">
        <v>1</v>
      </c>
      <c r="C43" s="8"/>
      <c r="D43" s="8"/>
    </row>
    <row r="44" spans="1:5" x14ac:dyDescent="0.35">
      <c r="B44" s="8"/>
      <c r="C44" s="8"/>
      <c r="D44" s="8"/>
    </row>
    <row r="45" spans="1:5" x14ac:dyDescent="0.35">
      <c r="A45" s="8" t="s">
        <v>103</v>
      </c>
      <c r="B45" s="8"/>
      <c r="C45" s="8"/>
      <c r="D45" s="8"/>
    </row>
    <row r="46" spans="1:5" x14ac:dyDescent="0.35">
      <c r="A46" s="8" t="s">
        <v>99</v>
      </c>
      <c r="B46" s="8">
        <v>1</v>
      </c>
      <c r="C46" s="8"/>
      <c r="D46" s="8"/>
    </row>
    <row r="47" spans="1:5" x14ac:dyDescent="0.35">
      <c r="A47" s="8" t="s">
        <v>100</v>
      </c>
      <c r="B47" s="8">
        <v>2</v>
      </c>
      <c r="C47" s="8"/>
      <c r="D47" s="8"/>
    </row>
    <row r="48" spans="1:5" x14ac:dyDescent="0.35">
      <c r="A48" s="8" t="s">
        <v>101</v>
      </c>
      <c r="B48" s="8">
        <v>3</v>
      </c>
      <c r="C48" s="8"/>
      <c r="D48" s="8"/>
    </row>
    <row r="49" spans="1:4" x14ac:dyDescent="0.35">
      <c r="A49" s="8" t="s">
        <v>102</v>
      </c>
      <c r="B49" s="8">
        <v>4</v>
      </c>
      <c r="C49" s="8"/>
      <c r="D49" s="8"/>
    </row>
    <row r="50" spans="1:4" x14ac:dyDescent="0.35">
      <c r="A50" s="8"/>
      <c r="B50" s="8"/>
      <c r="C50" s="8"/>
      <c r="D50" s="8"/>
    </row>
    <row r="51" spans="1:4" x14ac:dyDescent="0.35">
      <c r="A51" s="13" t="s">
        <v>11</v>
      </c>
      <c r="B51" s="8"/>
      <c r="C51" s="8"/>
      <c r="D51" s="8"/>
    </row>
    <row r="52" spans="1:4" x14ac:dyDescent="0.35">
      <c r="A52" s="8" t="s">
        <v>69</v>
      </c>
      <c r="B52" s="8">
        <v>3</v>
      </c>
      <c r="C52" s="8"/>
      <c r="D52" s="8"/>
    </row>
    <row r="53" spans="1:4" x14ac:dyDescent="0.35">
      <c r="A53" s="8" t="s">
        <v>70</v>
      </c>
      <c r="B53" s="8">
        <v>2</v>
      </c>
      <c r="C53" s="8"/>
      <c r="D53" s="8"/>
    </row>
    <row r="54" spans="1:4" x14ac:dyDescent="0.35">
      <c r="A54" s="8"/>
      <c r="B54" s="8"/>
      <c r="C54" s="8"/>
      <c r="D54" s="8"/>
    </row>
    <row r="55" spans="1:4" x14ac:dyDescent="0.35">
      <c r="A55" s="8" t="s">
        <v>71</v>
      </c>
      <c r="B55" s="8">
        <v>3</v>
      </c>
      <c r="C55" s="8"/>
      <c r="D55" s="8"/>
    </row>
    <row r="56" spans="1:4" x14ac:dyDescent="0.35">
      <c r="B56" s="8"/>
      <c r="C56" s="8"/>
      <c r="D56" s="8"/>
    </row>
    <row r="57" spans="1:4" x14ac:dyDescent="0.35">
      <c r="B57" s="8"/>
      <c r="C57" s="8"/>
      <c r="D57" s="8"/>
    </row>
    <row r="58" spans="1:4" s="8" customFormat="1" ht="29" x14ac:dyDescent="0.35">
      <c r="A58" s="11" t="s">
        <v>72</v>
      </c>
      <c r="B58" s="11" t="s">
        <v>73</v>
      </c>
      <c r="C58" s="11" t="s">
        <v>111</v>
      </c>
      <c r="D58" s="11" t="s">
        <v>112</v>
      </c>
    </row>
    <row r="59" spans="1:4" s="8" customFormat="1" x14ac:dyDescent="0.35">
      <c r="A59" s="8">
        <v>4</v>
      </c>
      <c r="B59" s="22">
        <v>2000000</v>
      </c>
      <c r="C59" s="22">
        <v>60000</v>
      </c>
      <c r="D59" s="22">
        <v>100000</v>
      </c>
    </row>
  </sheetData>
  <sheetProtection algorithmName="SHA-512" hashValue="gHOEnnmLE9xC3sWLoqnsOTrCPckFLEdyv2eamvlz2N9PdBb9uoE4en+ddWJ33pJGPAgPoqfiDZ922m+Wh5DsRg==" saltValue="q6FHZctZD7Ada45GCNPI8A==" spinCount="100000" sheet="1" objects="1" scenarios="1"/>
  <pageMargins left="0.7" right="0.7" top="0.75" bottom="0.75" header="0.3" footer="0.3"/>
  <pageSetup orientation="portrait" horizontalDpi="1200" verticalDpi="1200" r:id="rId1"/>
  <headerFooter>
    <oddFooter>&amp;L_x000D_&amp;1#&amp;"Calibri"&amp;9&amp;K0000FF FHLBank San Francisco |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 Estimated Score</vt:lpstr>
      <vt:lpstr>Sheet2</vt:lpstr>
    </vt:vector>
  </TitlesOfParts>
  <Company>Federal Home Loan Bank of 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Chou, Kelly</dc:creator>
  <cp:lastModifiedBy>Chou, Kelly</cp:lastModifiedBy>
  <dcterms:created xsi:type="dcterms:W3CDTF">2025-10-28T22:27:13Z</dcterms:created>
  <dcterms:modified xsi:type="dcterms:W3CDTF">2026-01-29T23:23:43Z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6b385a4-c4f2-4c8e-b56c-f802145fa077_Enabled">
    <vt:lpwstr>true</vt:lpwstr>
  </property>
  <property fmtid="{D5CDD505-2E9C-101B-9397-08002B2CF9AE}" pid="3" name="MSIP_Label_f6b385a4-c4f2-4c8e-b56c-f802145fa077_SetDate">
    <vt:lpwstr>2025-10-28T23:02:16Z</vt:lpwstr>
  </property>
  <property fmtid="{D5CDD505-2E9C-101B-9397-08002B2CF9AE}" pid="4" name="MSIP_Label_f6b385a4-c4f2-4c8e-b56c-f802145fa077_Method">
    <vt:lpwstr>Privileged</vt:lpwstr>
  </property>
  <property fmtid="{D5CDD505-2E9C-101B-9397-08002B2CF9AE}" pid="5" name="MSIP_Label_f6b385a4-c4f2-4c8e-b56c-f802145fa077_Name">
    <vt:lpwstr>Internal</vt:lpwstr>
  </property>
  <property fmtid="{D5CDD505-2E9C-101B-9397-08002B2CF9AE}" pid="6" name="MSIP_Label_f6b385a4-c4f2-4c8e-b56c-f802145fa077_SiteId">
    <vt:lpwstr>f0780ff9-b2ea-4cc5-aac1-4c940bd78c8c</vt:lpwstr>
  </property>
  <property fmtid="{D5CDD505-2E9C-101B-9397-08002B2CF9AE}" pid="7" name="MSIP_Label_f6b385a4-c4f2-4c8e-b56c-f802145fa077_ActionId">
    <vt:lpwstr>c47c4921-a835-460a-b2e7-c1b89e772ee2</vt:lpwstr>
  </property>
  <property fmtid="{D5CDD505-2E9C-101B-9397-08002B2CF9AE}" pid="8" name="MSIP_Label_f6b385a4-c4f2-4c8e-b56c-f802145fa077_ContentBits">
    <vt:lpwstr>2</vt:lpwstr>
  </property>
  <property fmtid="{D5CDD505-2E9C-101B-9397-08002B2CF9AE}" pid="9" name="MSIP_Label_f6b385a4-c4f2-4c8e-b56c-f802145fa077_Tag">
    <vt:lpwstr>10, 0, 1, 1</vt:lpwstr>
  </property>
</Properties>
</file>