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comments2.xml" ContentType="application/vnd.openxmlformats-officedocument.spreadsheetml.comments+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AC8B1F5A-2147-43FC-A89B-C09B6A3C955F}" xr6:coauthVersionLast="47" xr6:coauthVersionMax="47" xr10:uidLastSave="{00000000-0000-0000-0000-000000000000}"/>
  <workbookProtection workbookAlgorithmName="SHA-512" workbookHashValue="9JOaMW3RyXnOrxproteau+jfffDkaTxh6FxNL5pk5oUcMrSCLptyYvy8o+bnbwtpF8S5R3j/5tahiVRi3J9eiA==" workbookSaltValue="uivfiFQ4YsBCit+EzkgxDw==" workbookSpinCount="100000" lockStructure="1"/>
  <bookViews>
    <workbookView showSheetTabs="0" xWindow="38290" yWindow="-110" windowWidth="38620" windowHeight="21100" xr2:uid="{00000000-000D-0000-FFFF-FFFF00000000}"/>
  </bookViews>
  <sheets>
    <sheet name="AHEAD" sheetId="13" r:id="rId1"/>
    <sheet name="AHEAD_BUDGET" sheetId="14" r:id="rId2"/>
    <sheet name="Configuration" sheetId="7" state="hidden" r:id="rId3"/>
    <sheet name="$DB.CONFIG" sheetId="3" state="hidden" r:id="rId4"/>
    <sheet name="$DB.LOOKUP" sheetId="2" state="hidden" r:id="rId5"/>
    <sheet name="$DB.DATA" sheetId="4" state="hidden" r:id="rId6"/>
    <sheet name="$DB.EXPORT" sheetId="5" state="hidden" r:id="rId7"/>
  </sheets>
  <definedNames>
    <definedName name="_xlnm._FilterDatabase" localSheetId="4" hidden="1">'$DB.LOOKUP'!$E$2:$F$2</definedName>
    <definedName name="APPLICATION_BUDGET_CERT_FLG">'$DB.DATA'!$G$151</definedName>
    <definedName name="BUDGET_EXCESSDEFICIENCY_BALANCE_FLAG">AHEAD_BUDGET!$I$79</definedName>
    <definedName name="BUDGET_SOF_BALANCE_FLAG">AHEAD_BUDGET!$I$77</definedName>
    <definedName name="BUDGET_TOTAL_INCOME">AHEAD_BUDGET!$E$33</definedName>
    <definedName name="BUDGET_UOF_BALANCE_FLAG">AHEAD_BUDGET!$I$78</definedName>
    <definedName name="COMPANY_LOGO">"FOOTER_BG,WELCOME_HEADER_IMG"</definedName>
    <definedName name="CONFIG_AHEAD_ROUND">'$DB.CONFIG'!$D$5</definedName>
    <definedName name="CONFIG_AHP_ROUND">'$DB.CONFIG'!$D$5</definedName>
    <definedName name="CONFIG_APP_INSTRUCTIONS_BODY">'$DB.CONFIG'!$D$10</definedName>
    <definedName name="CONFIG_APP_INSTRUCTIONS_TITLE">'$DB.CONFIG'!$D$9</definedName>
    <definedName name="CONFIG_CHAR_LIMIT_LARGE">'$DB.CONFIG'!$D$13</definedName>
    <definedName name="CONFIG_CHAR_LIMIT_MEDIUM">'$DB.CONFIG'!$D$12</definedName>
    <definedName name="CONFIG_CHAR_LIMIT_SMALL">'$DB.CONFIG'!$D$11</definedName>
    <definedName name="CONFIG_CHAR_LIMIT_TEMPLATE">'$DB.CONFIG'!$D$15</definedName>
    <definedName name="CONFIG_CHAR_LIMIT_TEMPLATE_ERR">'$DB.CONFIG'!$D$16</definedName>
    <definedName name="CONFIG_CHAR_LIMIT_XLARGE">'$DB.CONFIG'!$D$14</definedName>
    <definedName name="CONFIG_COMPLIANCE_PERIOD_END_DATE">'$DB.CONFIG'!$D$7</definedName>
    <definedName name="CONFIG_EARLIEST_AWARD_DATE">'$DB.CONFIG'!$D$6</definedName>
    <definedName name="CONFIG_EFORM_VERSION_NO">'$DB.CONFIG'!$D$3</definedName>
    <definedName name="CONFIG_SUBSIDY_DR_MAX">'$DB.CONFIG'!$D$18</definedName>
    <definedName name="CONFIG_SUBSIDY_DR_MIN">'$DB.CONFIG'!$D$17</definedName>
    <definedName name="CONFIG_SUBSIDY_MAX_TOTAL">'$DB.CONFIG'!$D$8</definedName>
    <definedName name="COUNTY_RANGE_">'$DB.LOOKUP'!$F$1</definedName>
    <definedName name="COUNTY_RANGE_AK">'$DB.LOOKUP'!$E$70:$E$94</definedName>
    <definedName name="COUNTY_RANGE_AL">'$DB.LOOKUP'!$E$3:$E$69</definedName>
    <definedName name="COUNTY_RANGE_AR">'$DB.LOOKUP'!$E$110:$E$184</definedName>
    <definedName name="COUNTY_RANGE_AZ">'$DB.LOOKUP'!$E$95:$E$109</definedName>
    <definedName name="COUNTY_RANGE_CA">'$DB.LOOKUP'!$E$185:$E$242</definedName>
    <definedName name="COUNTY_RANGE_CO">'$DB.LOOKUP'!$E$243:$E$305</definedName>
    <definedName name="COUNTY_RANGE_CT">'$DB.LOOKUP'!$E$306:$E$313</definedName>
    <definedName name="COUNTY_RANGE_DC">'$DB.LOOKUP'!$E$317</definedName>
    <definedName name="COUNTY_RANGE_DE">'$DB.LOOKUP'!$E$314:$E$316</definedName>
    <definedName name="COUNTY_RANGE_FL">'$DB.LOOKUP'!$E$318:$E$384</definedName>
    <definedName name="COUNTY_RANGE_GA">'$DB.LOOKUP'!$E$385:$E$543</definedName>
    <definedName name="COUNTY_RANGE_GU">'$DB.LOOKUP'!$E$544</definedName>
    <definedName name="COUNTY_RANGE_HI">'$DB.LOOKUP'!$E$545:$E$549</definedName>
    <definedName name="COUNTY_RANGE_IA">'$DB.LOOKUP'!$E$788:$E$886</definedName>
    <definedName name="COUNTY_RANGE_ID">'$DB.LOOKUP'!$E$550:$E$593</definedName>
    <definedName name="COUNTY_RANGE_IL">'$DB.LOOKUP'!$E$594:$E$695</definedName>
    <definedName name="COUNTY_RANGE_IN">'$DB.LOOKUP'!$E$696:$E$787</definedName>
    <definedName name="COUNTY_RANGE_KS">'$DB.LOOKUP'!$E$887:$E$991</definedName>
    <definedName name="COUNTY_RANGE_KY">'$DB.LOOKUP'!$E$992:$E$1111</definedName>
    <definedName name="COUNTY_RANGE_LA">'$DB.LOOKUP'!$E$1112:$E$1175</definedName>
    <definedName name="COUNTY_RANGE_MA">'$DB.LOOKUP'!$E$1216:$E$1229</definedName>
    <definedName name="COUNTY_RANGE_MD">'$DB.LOOKUP'!$E$1192:$E$1215</definedName>
    <definedName name="COUNTY_RANGE_ME">'$DB.LOOKUP'!$E$1176:$E$1191</definedName>
    <definedName name="COUNTY_RANGE_MI">'$DB.LOOKUP'!$E$1230:$E$1312</definedName>
    <definedName name="COUNTY_RANGE_MN">'$DB.LOOKUP'!$E$1313:$E$1399</definedName>
    <definedName name="COUNTY_RANGE_MO">'$DB.LOOKUP'!$E$1482:$E$1596</definedName>
    <definedName name="COUNTY_RANGE_MS">'$DB.LOOKUP'!$E$1400:$E$1481</definedName>
    <definedName name="COUNTY_RANGE_MT">'$DB.LOOKUP'!$E$1597:$E$1653</definedName>
    <definedName name="COUNTY_RANGE_NC">'$DB.LOOKUP'!$E$1890:$E$1989</definedName>
    <definedName name="COUNTY_RANGE_ND">'$DB.LOOKUP'!$E$1990:$E$2042</definedName>
    <definedName name="COUNTY_RANGE_NE">'$DB.LOOKUP'!$E$1654:$E$1746</definedName>
    <definedName name="COUNTY_RANGE_NH">'$DB.LOOKUP'!$E$1764:$E$1773</definedName>
    <definedName name="COUNTY_RANGE_NJ">'$DB.LOOKUP'!$E$1774:$E$1794</definedName>
    <definedName name="COUNTY_RANGE_NM">'$DB.LOOKUP'!$E$1795:$E$1827</definedName>
    <definedName name="COUNTY_RANGE_NV">'$DB.LOOKUP'!$E$1747:$E$1763</definedName>
    <definedName name="COUNTY_RANGE_NY">'$DB.LOOKUP'!$E$1828:$E$1889</definedName>
    <definedName name="COUNTY_RANGE_OH">'$DB.LOOKUP'!$E$2043:$E$2130</definedName>
    <definedName name="COUNTY_RANGE_OK">'$DB.LOOKUP'!$E$2131:$E$2207</definedName>
    <definedName name="COUNTY_RANGE_OR">'$DB.LOOKUP'!$E$2208:$E$2243</definedName>
    <definedName name="COUNTY_RANGE_PA">'$DB.LOOKUP'!$E$2244:$E$2310</definedName>
    <definedName name="COUNTY_RANGE_PR">'$DB.LOOKUP'!$E$3145:$E$3222</definedName>
    <definedName name="COUNTY_RANGE_RI">'$DB.LOOKUP'!$E$2311:$E$2315</definedName>
    <definedName name="COUNTY_RANGE_SC">'$DB.LOOKUP'!$E$2316:$E$2361</definedName>
    <definedName name="COUNTY_RANGE_SD">'$DB.LOOKUP'!$E$2362:$E$2427</definedName>
    <definedName name="COUNTY_RANGE_TN">'$DB.LOOKUP'!$E$2428:$E$2522</definedName>
    <definedName name="COUNTY_RANGE_TX">'$DB.LOOKUP'!$E$2523:$E$2776</definedName>
    <definedName name="COUNTY_RANGE_UT">'$DB.LOOKUP'!$E$2777:$E$2805</definedName>
    <definedName name="COUNTY_RANGE_VA">'$DB.LOOKUP'!$E$2820:$E$2955</definedName>
    <definedName name="COUNTY_RANGE_VI">'$DB.LOOKUP'!$E$3223:$E$3225</definedName>
    <definedName name="COUNTY_RANGE_VT">'$DB.LOOKUP'!$E$2806:$E$2819</definedName>
    <definedName name="COUNTY_RANGE_WA">'$DB.LOOKUP'!$E$2956:$E$2994</definedName>
    <definedName name="COUNTY_RANGE_WI">'$DB.LOOKUP'!$E$3050:$E$3121</definedName>
    <definedName name="COUNTY_RANGE_WV">'$DB.LOOKUP'!$E$2995:$E$3049</definedName>
    <definedName name="COUNTY_RANGE_WY">'$DB.LOOKUP'!$E$3122:$E$3144</definedName>
    <definedName name="CREATE_RETAIN_JOB_COUNT">'$DB.DATA'!$G$63</definedName>
    <definedName name="CREATE_RETAIN_JOB_FLG">'$DB.DATA'!$G$62</definedName>
    <definedName name="DATA_EFORM_TYPE_CODE">'$DB.DATA'!$G$9</definedName>
    <definedName name="DRBUDGET_EXCESSDEFICIENCY_BALANCE_FLAG">#REF!</definedName>
    <definedName name="DRBUDGET_SOF_BALANCE_FLAG">#REF!</definedName>
    <definedName name="DRBUDGET_TOTAL_INCOME">#REF!</definedName>
    <definedName name="DRBUDGET_UOF_BALANCE_FLAG">#REF!</definedName>
    <definedName name="EFORM_TYPE_CODE_AHEAD">'$DB.LOOKUP'!$Y$3</definedName>
    <definedName name="EFORM_TYPE_CODE_AHEAD_DR">'$DB.LOOKUP'!$Y$4</definedName>
    <definedName name="NONPROFIT_ORG_DESCRIPTION">'$DB.LOOKUP'!$Q$5</definedName>
    <definedName name="OTHER_GRANT_FLG">'$DB.DATA'!$G$120</definedName>
    <definedName name="OTHER_LOAN_FLG">'$DB.DATA'!$G$122</definedName>
    <definedName name="OTHER_LOAN_FLG_INPUT">AHEAD!$B$175</definedName>
    <definedName name="OTHER_NON_FIN_INVOL_FLG">'$DB.DATA'!$G$124</definedName>
    <definedName name="OTHER_ORG_INVOL_FLG">'$DB.DATA'!$G$142</definedName>
    <definedName name="_xlnm.Print_Area" localSheetId="0">AHEAD!$H$1:$Y$265</definedName>
    <definedName name="_xlnm.Print_Area" localSheetId="1">AHEAD_BUDGET!$A$1:$J$81</definedName>
    <definedName name="_xlnm.Print_Area" localSheetId="2">Configuration!$C$1:$T$32</definedName>
    <definedName name="_xlnm.Print_Titles" localSheetId="1">AHEAD_BUDGET!$1:$3</definedName>
    <definedName name="_xlnm.Print_Titles" localSheetId="2">Configuration!$1:$2</definedName>
    <definedName name="PROJ_NAME">'$DB.DATA'!$G$10</definedName>
    <definedName name="PROJECT_END_DATE">'$DB.DATA'!$G$40</definedName>
    <definedName name="PROJECT_START_DATE">'$DB.DATA'!$G$39</definedName>
    <definedName name="PROJECT_TYPE_CAPACITY">'$DB.LOOKUP'!$S$3</definedName>
    <definedName name="PROJECT_TYPE_ENTREPRENEURIAL">'$DB.LOOKUP'!$S$4</definedName>
    <definedName name="PROJECT_TYPE_FINCLEDU">'$DB.LOOKUP'!$S$5</definedName>
    <definedName name="PROJECT_TYPE_HOUSINGINIT">'$DB.LOOKUP'!$S$6</definedName>
    <definedName name="PROJECT_TYPE_JOBTRAINING">'$DB.LOOKUP'!$S$7</definedName>
    <definedName name="PROJECT_TYPE_OTHERECONDEV">'$DB.LOOKUP'!$S$8</definedName>
    <definedName name="PROJECT_TYPE_PANDEMICRELIEF">'$DB.LOOKUP'!#REF!</definedName>
    <definedName name="PROJECT_TYPE_SELECTION">'$DB.DATA'!$G$59</definedName>
    <definedName name="PROJECT_TYPE_SOCIALSERVICES">'$DB.LOOKUP'!$S$9</definedName>
    <definedName name="PROJECT_TYPE_TECHASSIST">'$DB.LOOKUP'!$S$10</definedName>
    <definedName name="RANGE_LOOKUP_COUNTY_PLACEHOLDER">'$DB.LOOKUP'!$H$3</definedName>
    <definedName name="RANGE_LOOKUP_FEMADESIGNATION">'$DB.LOOKUP'!$AA$3:$AA$4</definedName>
    <definedName name="RANGE_LOOKUP_PROJECTTYPE">'$DB.LOOKUP'!$S$3:$S$10</definedName>
    <definedName name="RANGE_LOOKUP_SPONSTYPE">'$DB.LOOKUP'!$Q$3:$Q$5</definedName>
    <definedName name="RANGE_LOOKUP_SPONSTYPE_DR">'$DB.LOOKUP'!$Q$6:$Q$8</definedName>
    <definedName name="RANGE_LOOKUP_STATE">'$DB.LOOKUP'!$A$3:$A$53</definedName>
    <definedName name="RANGE_LOOKUP_STATE_DISTRICT">'$DB.LOOKUP'!$C$3:$C$5</definedName>
    <definedName name="RANGE_LOOKUP_TSA">'$DB.LOOKUP'!$V$3:$V$6</definedName>
    <definedName name="RANGE_LOOKUP_TSA_CODES">'$DB.LOOKUP'!$W$3:$W$6</definedName>
    <definedName name="RANGE_LOOKUP_YESNO">'$DB.LOOKUP'!$K$3:$K$4</definedName>
    <definedName name="RANGE_LOOKUP_YESNONA">'$DB.LOOKUP'!$M$3:$M$5</definedName>
    <definedName name="SELECTED_EFORM_TYPE">#REF!</definedName>
    <definedName name="SPONS_NAME">'$DB.DATA'!$G$26</definedName>
    <definedName name="SPONSOR_AHEAD_GRANT_FLG">'$DB.DATA'!$G$41</definedName>
    <definedName name="SUBSIDY_AMOUNT_REQUESTED">'$DB.DATA'!$G$38</definedName>
    <definedName name="TARGET_AHDR_TOP">#REF!</definedName>
    <definedName name="TARGET_APP_1_START">AHEAD!$I$28</definedName>
    <definedName name="TARGET_APP_2_START">AHEAD!$I$37</definedName>
    <definedName name="TARGET_APP_3_START">AHEAD!$I$49</definedName>
    <definedName name="TARGET_APP_4_START">AHEAD!$U$83</definedName>
    <definedName name="TARGET_APP_5_START">AHEAD!$I$102</definedName>
    <definedName name="TARGET_APP_6_START">AHEAD!$W$219</definedName>
    <definedName name="TARGET_APP_7_START">AHEAD!$H$258</definedName>
    <definedName name="TARGET_APP_TOP">AHEAD!$H$5</definedName>
    <definedName name="TARGET_BUDGET_DR_TOP">#REF!</definedName>
    <definedName name="TARGET_BUDGET_TOP">AHEAD_BUDGET!$A$3</definedName>
    <definedName name="TARGET_CONFIG_TOP">Configuration!$C$3</definedName>
    <definedName name="TARGET_WELCOME_TOP">#REF!</definedName>
    <definedName name="TB_OTHER_ATRISK_FLG">'$DB.DATA'!$G$85</definedName>
    <definedName name="TSA_FLG">'$DB.DATA'!$G$99</definedName>
    <definedName name="TSA_OTHER">'$DB.LOOKUP'!$W$6</definedName>
    <definedName name="TSA_SELECTION">'$DB.DATA'!$G$98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0" i="13" l="1"/>
  <c r="E140" i="13"/>
  <c r="F140" i="13"/>
  <c r="D141" i="13"/>
  <c r="E141" i="13"/>
  <c r="F141" i="13"/>
  <c r="D142" i="13"/>
  <c r="E142" i="13"/>
  <c r="F142" i="13"/>
  <c r="B93" i="4"/>
  <c r="B94" i="4"/>
  <c r="B95" i="4"/>
  <c r="P93" i="4"/>
  <c r="P94" i="4"/>
  <c r="P95" i="4"/>
  <c r="B96" i="13"/>
  <c r="B93" i="13"/>
  <c r="B90" i="13"/>
  <c r="B87" i="13"/>
  <c r="B84" i="13"/>
  <c r="B153" i="13"/>
  <c r="B148" i="13"/>
  <c r="B152" i="13"/>
  <c r="B151" i="13"/>
  <c r="B150" i="13"/>
  <c r="B149" i="13"/>
  <c r="B113" i="13"/>
  <c r="G94" i="4"/>
  <c r="G93" i="4"/>
  <c r="G95" i="4"/>
  <c r="I93" i="4" l="1"/>
  <c r="S93" i="4"/>
  <c r="V93" i="4" s="1"/>
  <c r="K93" i="4" s="1"/>
  <c r="I94" i="4"/>
  <c r="S94" i="4"/>
  <c r="V94" i="4" s="1"/>
  <c r="K94" i="4" s="1"/>
  <c r="I95" i="4"/>
  <c r="S95" i="4"/>
  <c r="V95" i="4" s="1"/>
  <c r="K95" i="4" s="1"/>
  <c r="D149" i="13"/>
  <c r="E149" i="13"/>
  <c r="F149" i="13"/>
  <c r="D150" i="13"/>
  <c r="E150" i="13"/>
  <c r="F150" i="13"/>
  <c r="D151" i="13"/>
  <c r="E151" i="13"/>
  <c r="F151" i="13"/>
  <c r="D152" i="13"/>
  <c r="E152" i="13"/>
  <c r="F152" i="13"/>
  <c r="D153" i="13"/>
  <c r="E153" i="13"/>
  <c r="U117" i="4"/>
  <c r="F153" i="13" s="1"/>
  <c r="U119" i="4"/>
  <c r="M94" i="4" l="1"/>
  <c r="X94" i="4" s="1"/>
  <c r="C141" i="13" s="1"/>
  <c r="G141" i="13" s="1"/>
  <c r="M95" i="4"/>
  <c r="X95" i="4" s="1"/>
  <c r="C142" i="13" s="1"/>
  <c r="G142" i="13" s="1"/>
  <c r="M93" i="4"/>
  <c r="X93" i="4" s="1"/>
  <c r="C140" i="13" s="1"/>
  <c r="G140" i="13" s="1"/>
  <c r="L95" i="4"/>
  <c r="BT2" i="5" s="1"/>
  <c r="L94" i="4"/>
  <c r="BS2" i="5" s="1"/>
  <c r="L93" i="4"/>
  <c r="BR2" i="5" s="1"/>
  <c r="W207" i="13"/>
  <c r="B113" i="4"/>
  <c r="B114" i="4"/>
  <c r="B115" i="4"/>
  <c r="B116" i="4"/>
  <c r="B117" i="4"/>
  <c r="P113" i="4"/>
  <c r="P114" i="4"/>
  <c r="P115" i="4"/>
  <c r="P116" i="4"/>
  <c r="P117" i="4"/>
  <c r="Q117" i="4"/>
  <c r="G115" i="4"/>
  <c r="G116" i="4"/>
  <c r="G113" i="4"/>
  <c r="O94" i="4" l="1"/>
  <c r="N94" i="4"/>
  <c r="N95" i="4"/>
  <c r="N93" i="4"/>
  <c r="O95" i="4"/>
  <c r="O93" i="4"/>
  <c r="I116" i="4"/>
  <c r="M116" i="4" s="1"/>
  <c r="X116" i="4" s="1"/>
  <c r="C152" i="13" s="1"/>
  <c r="G152" i="13" s="1"/>
  <c r="S116" i="4"/>
  <c r="V116" i="4" s="1"/>
  <c r="K116" i="4" s="1"/>
  <c r="I113" i="4"/>
  <c r="M113" i="4" s="1"/>
  <c r="X113" i="4" s="1"/>
  <c r="C149" i="13" s="1"/>
  <c r="G149" i="13" s="1"/>
  <c r="X198" i="13" s="1"/>
  <c r="S113" i="4"/>
  <c r="V113" i="4" s="1"/>
  <c r="K113" i="4" s="1"/>
  <c r="I115" i="4"/>
  <c r="M115" i="4" s="1"/>
  <c r="X115" i="4" s="1"/>
  <c r="C151" i="13" s="1"/>
  <c r="G151" i="13" s="1"/>
  <c r="X202" i="13" s="1"/>
  <c r="S115" i="4"/>
  <c r="V115" i="4" s="1"/>
  <c r="K115" i="4" s="1"/>
  <c r="D139" i="13"/>
  <c r="E139" i="13"/>
  <c r="F139" i="13"/>
  <c r="B92" i="4"/>
  <c r="P92" i="4"/>
  <c r="G92" i="4"/>
  <c r="G114" i="4"/>
  <c r="G117" i="4"/>
  <c r="E117" i="4" l="1"/>
  <c r="N115" i="4"/>
  <c r="O116" i="4"/>
  <c r="N116" i="4"/>
  <c r="N113" i="4"/>
  <c r="O113" i="4"/>
  <c r="O115" i="4"/>
  <c r="I117" i="4"/>
  <c r="S117" i="4"/>
  <c r="V117" i="4" s="1"/>
  <c r="S114" i="4"/>
  <c r="V114" i="4" s="1"/>
  <c r="K114" i="4" s="1"/>
  <c r="I114" i="4"/>
  <c r="M114" i="4" s="1"/>
  <c r="L115" i="4"/>
  <c r="BO2" i="5" s="1"/>
  <c r="L113" i="4"/>
  <c r="BM2" i="5" s="1"/>
  <c r="L116" i="4"/>
  <c r="BP2" i="5" s="1"/>
  <c r="I92" i="4"/>
  <c r="S92" i="4"/>
  <c r="V92" i="4" s="1"/>
  <c r="K92" i="4" s="1"/>
  <c r="B80" i="4"/>
  <c r="B79" i="4"/>
  <c r="P79" i="4"/>
  <c r="P80" i="4"/>
  <c r="Q79" i="4"/>
  <c r="Q80" i="4"/>
  <c r="G79" i="4"/>
  <c r="G80" i="4"/>
  <c r="M92" i="4" l="1"/>
  <c r="N92" i="4" s="1"/>
  <c r="H117" i="4"/>
  <c r="K117" i="4" s="1"/>
  <c r="L117" i="4" s="1"/>
  <c r="BQ2" i="5" s="1"/>
  <c r="O114" i="4"/>
  <c r="X114" i="4"/>
  <c r="C150" i="13" s="1"/>
  <c r="G150" i="13" s="1"/>
  <c r="X200" i="13" s="1"/>
  <c r="N114" i="4"/>
  <c r="L114" i="4"/>
  <c r="BN2" i="5" s="1"/>
  <c r="L92" i="4"/>
  <c r="BL2" i="5" s="1"/>
  <c r="I79" i="4"/>
  <c r="S79" i="4"/>
  <c r="V79" i="4" s="1"/>
  <c r="I80" i="4"/>
  <c r="S80" i="4"/>
  <c r="V80" i="4" s="1"/>
  <c r="U61" i="4"/>
  <c r="B61" i="4"/>
  <c r="P61" i="4"/>
  <c r="Q61" i="4"/>
  <c r="G61" i="4"/>
  <c r="X92" i="4" l="1"/>
  <c r="C139" i="13" s="1"/>
  <c r="G139" i="13" s="1"/>
  <c r="O92" i="4"/>
  <c r="M117" i="4"/>
  <c r="N117" i="4" s="1"/>
  <c r="I61" i="4"/>
  <c r="S61" i="4"/>
  <c r="V61" i="4" s="1"/>
  <c r="B154" i="13"/>
  <c r="X117" i="4" l="1"/>
  <c r="C153" i="13" s="1"/>
  <c r="G153" i="13" s="1"/>
  <c r="X208" i="13" s="1"/>
  <c r="O117" i="4"/>
  <c r="B107" i="4"/>
  <c r="B108" i="4"/>
  <c r="P107" i="4"/>
  <c r="P108" i="4"/>
  <c r="Q107" i="4"/>
  <c r="Q108" i="4"/>
  <c r="T38" i="4"/>
  <c r="G107" i="4"/>
  <c r="G108" i="4"/>
  <c r="I107" i="4" l="1"/>
  <c r="S107" i="4"/>
  <c r="V107" i="4" s="1"/>
  <c r="K107" i="4" s="1"/>
  <c r="I108" i="4"/>
  <c r="S108" i="4"/>
  <c r="V108" i="4" s="1"/>
  <c r="K108" i="4" s="1"/>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2" i="4"/>
  <c r="B63" i="4"/>
  <c r="B64" i="4"/>
  <c r="B65" i="4"/>
  <c r="B66" i="4"/>
  <c r="B67" i="4"/>
  <c r="B68" i="4"/>
  <c r="B69" i="4"/>
  <c r="B70" i="4"/>
  <c r="B71" i="4"/>
  <c r="B72" i="4"/>
  <c r="B73" i="4"/>
  <c r="B74" i="4"/>
  <c r="B75" i="4"/>
  <c r="B76" i="4"/>
  <c r="B77" i="4"/>
  <c r="B78" i="4"/>
  <c r="B81" i="4"/>
  <c r="B82" i="4"/>
  <c r="B83" i="4"/>
  <c r="B84" i="4"/>
  <c r="B85" i="4"/>
  <c r="B86" i="4"/>
  <c r="B87" i="4"/>
  <c r="B88" i="4"/>
  <c r="B89" i="4"/>
  <c r="B90" i="4"/>
  <c r="B91" i="4"/>
  <c r="B96" i="4"/>
  <c r="B97" i="4"/>
  <c r="B98" i="4"/>
  <c r="B99" i="4"/>
  <c r="B100" i="4"/>
  <c r="B101" i="4"/>
  <c r="B102" i="4"/>
  <c r="B103" i="4"/>
  <c r="B104" i="4"/>
  <c r="B105" i="4"/>
  <c r="B106" i="4"/>
  <c r="B109" i="4"/>
  <c r="B110" i="4"/>
  <c r="B111" i="4"/>
  <c r="B112"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1" i="4"/>
  <c r="B10" i="4"/>
  <c r="P9" i="4"/>
  <c r="M108" i="4" l="1"/>
  <c r="N108" i="4" s="1"/>
  <c r="M107" i="4"/>
  <c r="O107" i="4" s="1"/>
  <c r="L108" i="4"/>
  <c r="L107" i="4"/>
  <c r="S9" i="4"/>
  <c r="V9" i="4" s="1"/>
  <c r="K9" i="4" s="1"/>
  <c r="I9" i="4"/>
  <c r="X107" i="4" l="1"/>
  <c r="N107" i="4"/>
  <c r="O108" i="4"/>
  <c r="X108" i="4"/>
  <c r="M9" i="4"/>
  <c r="O9" i="4" s="1"/>
  <c r="L9" i="4"/>
  <c r="N9" i="4" l="1"/>
  <c r="X9" i="4"/>
  <c r="D136" i="13"/>
  <c r="E136" i="13"/>
  <c r="F136" i="13"/>
  <c r="D137" i="13"/>
  <c r="E137" i="13"/>
  <c r="F137" i="13"/>
  <c r="D138" i="13"/>
  <c r="E138" i="13"/>
  <c r="F138" i="13"/>
  <c r="P89" i="4"/>
  <c r="P90" i="4"/>
  <c r="P91" i="4"/>
  <c r="G89" i="4"/>
  <c r="G90" i="4"/>
  <c r="G91" i="4"/>
  <c r="I91" i="4" l="1"/>
  <c r="S91" i="4"/>
  <c r="V91" i="4" s="1"/>
  <c r="K91" i="4" s="1"/>
  <c r="I90" i="4"/>
  <c r="S90" i="4"/>
  <c r="V90" i="4" s="1"/>
  <c r="K90" i="4" s="1"/>
  <c r="I89" i="4"/>
  <c r="S89" i="4"/>
  <c r="V89" i="4" s="1"/>
  <c r="K89" i="4" s="1"/>
  <c r="P153" i="4"/>
  <c r="M90" i="4" l="1"/>
  <c r="X90" i="4" s="1"/>
  <c r="M89" i="4"/>
  <c r="N89" i="4" s="1"/>
  <c r="M91" i="4"/>
  <c r="O91" i="4" s="1"/>
  <c r="L91" i="4"/>
  <c r="BH2" i="5" s="1"/>
  <c r="L89" i="4"/>
  <c r="BF2" i="5" s="1"/>
  <c r="L90" i="4"/>
  <c r="BG2" i="5" s="1"/>
  <c r="V153" i="4"/>
  <c r="K153" i="4" s="1"/>
  <c r="B15" i="13"/>
  <c r="B14" i="13"/>
  <c r="B26" i="13"/>
  <c r="C137" i="13" l="1"/>
  <c r="G137" i="13" s="1"/>
  <c r="X89" i="4"/>
  <c r="N91" i="4"/>
  <c r="O89" i="4"/>
  <c r="X91" i="4"/>
  <c r="O90" i="4"/>
  <c r="N90" i="4"/>
  <c r="B16" i="13"/>
  <c r="D10" i="3"/>
  <c r="I9" i="13" s="1"/>
  <c r="C136" i="13" l="1"/>
  <c r="G136" i="13" s="1"/>
  <c r="C138" i="13"/>
  <c r="G138" i="13" s="1"/>
  <c r="G71" i="14"/>
  <c r="E206" i="13" l="1"/>
  <c r="F206" i="13"/>
  <c r="F205" i="13"/>
  <c r="E205" i="13"/>
  <c r="D205" i="13"/>
  <c r="P152" i="4"/>
  <c r="P151" i="4"/>
  <c r="B193" i="13" l="1"/>
  <c r="B191" i="13"/>
  <c r="B189" i="13"/>
  <c r="B187" i="13"/>
  <c r="B192" i="13"/>
  <c r="B190" i="13"/>
  <c r="B188" i="13"/>
  <c r="B186" i="13"/>
  <c r="B185" i="13"/>
  <c r="B184" i="13"/>
  <c r="B181" i="13"/>
  <c r="B178" i="13"/>
  <c r="B175" i="13"/>
  <c r="B183" i="13"/>
  <c r="B180" i="13"/>
  <c r="B177" i="13"/>
  <c r="B174" i="13"/>
  <c r="B182" i="13"/>
  <c r="B179" i="13"/>
  <c r="B176" i="13"/>
  <c r="B173" i="13"/>
  <c r="B172" i="13"/>
  <c r="B170" i="13"/>
  <c r="B168" i="13"/>
  <c r="B166" i="13"/>
  <c r="B165" i="13"/>
  <c r="F193" i="13"/>
  <c r="E193" i="13"/>
  <c r="D193" i="13"/>
  <c r="F192" i="13"/>
  <c r="E192" i="13"/>
  <c r="D192" i="13"/>
  <c r="F191" i="13"/>
  <c r="E191" i="13"/>
  <c r="D191" i="13"/>
  <c r="F190" i="13"/>
  <c r="E190" i="13"/>
  <c r="D190" i="13"/>
  <c r="F189" i="13"/>
  <c r="E189" i="13"/>
  <c r="D189" i="13"/>
  <c r="F188" i="13"/>
  <c r="E188" i="13"/>
  <c r="D188" i="13"/>
  <c r="F187" i="13"/>
  <c r="E187" i="13"/>
  <c r="D187" i="13"/>
  <c r="F186" i="13"/>
  <c r="E186" i="13"/>
  <c r="D186" i="13"/>
  <c r="F185" i="13"/>
  <c r="E185" i="13"/>
  <c r="D185" i="13"/>
  <c r="F184" i="13"/>
  <c r="E184" i="13"/>
  <c r="D184" i="13"/>
  <c r="F183" i="13"/>
  <c r="E183" i="13"/>
  <c r="D183" i="13"/>
  <c r="F182" i="13"/>
  <c r="E182" i="13"/>
  <c r="D182" i="13"/>
  <c r="F181" i="13"/>
  <c r="E181" i="13"/>
  <c r="D181" i="13"/>
  <c r="F180" i="13"/>
  <c r="E180" i="13"/>
  <c r="D180" i="13"/>
  <c r="F179" i="13"/>
  <c r="E179" i="13"/>
  <c r="D179" i="13"/>
  <c r="F178" i="13"/>
  <c r="E178" i="13"/>
  <c r="D178" i="13"/>
  <c r="F177" i="13"/>
  <c r="E177" i="13"/>
  <c r="D177" i="13"/>
  <c r="F176" i="13"/>
  <c r="E176" i="13"/>
  <c r="D176" i="13"/>
  <c r="F175" i="13"/>
  <c r="E175" i="13"/>
  <c r="D175" i="13"/>
  <c r="F174" i="13"/>
  <c r="E174" i="13"/>
  <c r="D174" i="13"/>
  <c r="F173" i="13"/>
  <c r="E173" i="13"/>
  <c r="D173" i="13"/>
  <c r="F172" i="13"/>
  <c r="E172" i="13"/>
  <c r="D172" i="13"/>
  <c r="F171" i="13"/>
  <c r="E171" i="13"/>
  <c r="D171" i="13"/>
  <c r="F170" i="13"/>
  <c r="E170" i="13"/>
  <c r="D170" i="13"/>
  <c r="F169" i="13"/>
  <c r="E169" i="13"/>
  <c r="D169" i="13"/>
  <c r="F168" i="13"/>
  <c r="E168" i="13"/>
  <c r="D168" i="13"/>
  <c r="F167" i="13"/>
  <c r="E167" i="13"/>
  <c r="D167" i="13"/>
  <c r="E166" i="13"/>
  <c r="D166" i="13"/>
  <c r="F165" i="13"/>
  <c r="E165" i="13"/>
  <c r="D165" i="13"/>
  <c r="G151" i="4"/>
  <c r="I151" i="4" l="1"/>
  <c r="S151" i="4"/>
  <c r="V151" i="4" s="1"/>
  <c r="K151" i="4" s="1"/>
  <c r="M151" i="4" l="1"/>
  <c r="N151" i="4" s="1"/>
  <c r="L151" i="4"/>
  <c r="B147" i="13"/>
  <c r="B145" i="13"/>
  <c r="B144" i="13"/>
  <c r="X151" i="4" l="1"/>
  <c r="O151" i="4"/>
  <c r="B85" i="13"/>
  <c r="C205" i="13" l="1"/>
  <c r="G205" i="13" s="1"/>
  <c r="B129" i="13"/>
  <c r="B128" i="13"/>
  <c r="B127" i="13"/>
  <c r="B126" i="13"/>
  <c r="B125" i="13"/>
  <c r="B124" i="13"/>
  <c r="B122" i="13"/>
  <c r="B123" i="13"/>
  <c r="B121" i="13"/>
  <c r="B120" i="13"/>
  <c r="B119" i="13"/>
  <c r="B118" i="13"/>
  <c r="B117" i="13"/>
  <c r="B116" i="13"/>
  <c r="B114" i="13"/>
  <c r="B112" i="13"/>
  <c r="B111" i="13"/>
  <c r="B110" i="13"/>
  <c r="D111" i="13"/>
  <c r="E111" i="13"/>
  <c r="F111" i="13"/>
  <c r="D112" i="13"/>
  <c r="E112" i="13"/>
  <c r="F112" i="13"/>
  <c r="D113" i="13"/>
  <c r="E113" i="13"/>
  <c r="F113" i="13"/>
  <c r="D114" i="13"/>
  <c r="E114" i="13"/>
  <c r="F114" i="13"/>
  <c r="D115" i="13"/>
  <c r="E115" i="13"/>
  <c r="F115" i="13"/>
  <c r="D116" i="13"/>
  <c r="E116" i="13"/>
  <c r="F116" i="13"/>
  <c r="D117" i="13"/>
  <c r="E117" i="13"/>
  <c r="F117" i="13"/>
  <c r="D118" i="13"/>
  <c r="E118" i="13"/>
  <c r="F118" i="13"/>
  <c r="D119" i="13"/>
  <c r="E119" i="13"/>
  <c r="F119" i="13"/>
  <c r="D120" i="13"/>
  <c r="E120" i="13"/>
  <c r="F120" i="13"/>
  <c r="D121" i="13"/>
  <c r="E121" i="13"/>
  <c r="F121" i="13"/>
  <c r="D122" i="13"/>
  <c r="E122" i="13"/>
  <c r="F122" i="13"/>
  <c r="D123" i="13"/>
  <c r="E123" i="13"/>
  <c r="F123" i="13"/>
  <c r="D124" i="13"/>
  <c r="E124" i="13"/>
  <c r="F124" i="13"/>
  <c r="D125" i="13"/>
  <c r="E125" i="13"/>
  <c r="F125" i="13"/>
  <c r="D126" i="13"/>
  <c r="E126" i="13"/>
  <c r="F126" i="13"/>
  <c r="D127" i="13"/>
  <c r="E127" i="13"/>
  <c r="F127" i="13"/>
  <c r="D128" i="13"/>
  <c r="E128" i="13"/>
  <c r="F128" i="13"/>
  <c r="D129" i="13"/>
  <c r="E129" i="13"/>
  <c r="F129" i="13"/>
  <c r="D130" i="13"/>
  <c r="E130" i="13"/>
  <c r="F130" i="13"/>
  <c r="D131" i="13"/>
  <c r="E131" i="13"/>
  <c r="F131" i="13"/>
  <c r="D132" i="13"/>
  <c r="E132" i="13"/>
  <c r="F132" i="13"/>
  <c r="D133" i="13"/>
  <c r="E133" i="13"/>
  <c r="F133" i="13"/>
  <c r="D134" i="13"/>
  <c r="E134" i="13"/>
  <c r="F134" i="13"/>
  <c r="D135" i="13"/>
  <c r="E135" i="13"/>
  <c r="F135" i="13"/>
  <c r="D143" i="13"/>
  <c r="E143" i="13"/>
  <c r="F143" i="13"/>
  <c r="D144" i="13"/>
  <c r="E144" i="13"/>
  <c r="F144" i="13"/>
  <c r="D145" i="13"/>
  <c r="E145" i="13"/>
  <c r="F145" i="13"/>
  <c r="D146" i="13"/>
  <c r="E146" i="13"/>
  <c r="F146" i="13"/>
  <c r="D147" i="13"/>
  <c r="E147" i="13"/>
  <c r="F147" i="13"/>
  <c r="D148" i="13"/>
  <c r="E148" i="13"/>
  <c r="G77" i="4"/>
  <c r="G63" i="4"/>
  <c r="G78" i="4"/>
  <c r="P63" i="4" l="1"/>
  <c r="Q63" i="4"/>
  <c r="I63" i="4" l="1"/>
  <c r="S63" i="4"/>
  <c r="V63" i="4" s="1"/>
  <c r="B98" i="13" l="1"/>
  <c r="B97" i="13"/>
  <c r="B95" i="13"/>
  <c r="B94" i="13"/>
  <c r="B92" i="13"/>
  <c r="B91" i="13"/>
  <c r="B89" i="13"/>
  <c r="B88" i="13"/>
  <c r="B86" i="13"/>
  <c r="B83" i="13"/>
  <c r="B82" i="13" l="1"/>
  <c r="G40" i="4"/>
  <c r="H7" i="14" l="1"/>
  <c r="B81" i="13"/>
  <c r="E81" i="13"/>
  <c r="F81" i="13"/>
  <c r="E82" i="13"/>
  <c r="F82" i="13"/>
  <c r="D83" i="13"/>
  <c r="E83" i="13"/>
  <c r="F83" i="13"/>
  <c r="D84" i="13"/>
  <c r="E84" i="13"/>
  <c r="F84" i="13"/>
  <c r="D85" i="13"/>
  <c r="E85" i="13"/>
  <c r="F85" i="13"/>
  <c r="D86" i="13"/>
  <c r="E86" i="13"/>
  <c r="F86" i="13"/>
  <c r="D87" i="13"/>
  <c r="E87" i="13"/>
  <c r="F87" i="13"/>
  <c r="D88" i="13"/>
  <c r="E88" i="13"/>
  <c r="F88" i="13"/>
  <c r="D89" i="13"/>
  <c r="E89" i="13"/>
  <c r="F89" i="13"/>
  <c r="D90" i="13"/>
  <c r="E90" i="13"/>
  <c r="F90" i="13"/>
  <c r="D91" i="13"/>
  <c r="E91" i="13"/>
  <c r="F91" i="13"/>
  <c r="D92" i="13"/>
  <c r="E92" i="13"/>
  <c r="F92" i="13"/>
  <c r="D93" i="13"/>
  <c r="E93" i="13"/>
  <c r="F93" i="13"/>
  <c r="D94" i="13"/>
  <c r="E94" i="13"/>
  <c r="F94" i="13"/>
  <c r="D95" i="13"/>
  <c r="E95" i="13"/>
  <c r="F95" i="13"/>
  <c r="D96" i="13"/>
  <c r="E96" i="13"/>
  <c r="F96" i="13"/>
  <c r="D97" i="13"/>
  <c r="E97" i="13"/>
  <c r="F97" i="13"/>
  <c r="D98" i="13"/>
  <c r="E98" i="13"/>
  <c r="F98" i="13"/>
  <c r="B80" i="13"/>
  <c r="B68" i="13"/>
  <c r="G39" i="4"/>
  <c r="H40" i="4" l="1"/>
  <c r="E7" i="14"/>
  <c r="B67" i="13"/>
  <c r="D67" i="13"/>
  <c r="E67" i="13"/>
  <c r="F67" i="13"/>
  <c r="D68" i="13"/>
  <c r="E68" i="13"/>
  <c r="B66" i="13"/>
  <c r="F66" i="13"/>
  <c r="E66" i="13"/>
  <c r="D66" i="13"/>
  <c r="B37" i="13"/>
  <c r="B25" i="13" l="1"/>
  <c r="B24" i="13"/>
  <c r="B23" i="13"/>
  <c r="B22" i="13"/>
  <c r="B21" i="13"/>
  <c r="B20" i="13"/>
  <c r="B19" i="13"/>
  <c r="P150" i="4" l="1"/>
  <c r="Q150" i="4"/>
  <c r="P149" i="4"/>
  <c r="Q149" i="4"/>
  <c r="P148" i="4"/>
  <c r="Q148" i="4"/>
  <c r="P147" i="4"/>
  <c r="Q147" i="4"/>
  <c r="P146" i="4"/>
  <c r="Q146" i="4"/>
  <c r="P145" i="4"/>
  <c r="Q145" i="4"/>
  <c r="G142" i="4"/>
  <c r="G147" i="4"/>
  <c r="G143" i="4"/>
  <c r="G146" i="4"/>
  <c r="G98" i="4"/>
  <c r="G145" i="4"/>
  <c r="G148" i="4"/>
  <c r="G149" i="4"/>
  <c r="G150" i="4"/>
  <c r="G144" i="4"/>
  <c r="G59" i="4"/>
  <c r="E60" i="4" l="1"/>
  <c r="I150" i="4"/>
  <c r="S150" i="4"/>
  <c r="V150" i="4" s="1"/>
  <c r="I149" i="4"/>
  <c r="H149" i="4" s="1"/>
  <c r="S149" i="4"/>
  <c r="V149" i="4" s="1"/>
  <c r="I148" i="4"/>
  <c r="S148" i="4"/>
  <c r="V148" i="4" s="1"/>
  <c r="I147" i="4"/>
  <c r="H147" i="4" s="1"/>
  <c r="S147" i="4"/>
  <c r="V147" i="4" s="1"/>
  <c r="I146" i="4"/>
  <c r="S146" i="4"/>
  <c r="V146" i="4" s="1"/>
  <c r="I145" i="4"/>
  <c r="H145" i="4" s="1"/>
  <c r="S145" i="4"/>
  <c r="V145" i="4" s="1"/>
  <c r="P144" i="4"/>
  <c r="Q144" i="4"/>
  <c r="G41" i="4"/>
  <c r="G42" i="4"/>
  <c r="H79" i="4" l="1"/>
  <c r="K79" i="4" s="1"/>
  <c r="L79" i="4" s="1"/>
  <c r="BJ2" i="5" s="1"/>
  <c r="H80" i="4"/>
  <c r="K80" i="4" s="1"/>
  <c r="L80" i="4" s="1"/>
  <c r="BK2" i="5" s="1"/>
  <c r="H61" i="4"/>
  <c r="K61" i="4" s="1"/>
  <c r="L61" i="4" s="1"/>
  <c r="BI2" i="5" s="1"/>
  <c r="E150" i="4"/>
  <c r="K149" i="4"/>
  <c r="L149" i="4" s="1"/>
  <c r="E148" i="4"/>
  <c r="H148" i="4" s="1"/>
  <c r="K148" i="4" s="1"/>
  <c r="L148" i="4" s="1"/>
  <c r="K147" i="4"/>
  <c r="L147" i="4" s="1"/>
  <c r="E146" i="4"/>
  <c r="K145" i="4"/>
  <c r="L145" i="4" s="1"/>
  <c r="E42" i="4"/>
  <c r="I144" i="4"/>
  <c r="S144" i="4"/>
  <c r="V144" i="4" s="1"/>
  <c r="P143" i="4"/>
  <c r="Q143" i="4"/>
  <c r="P142" i="4"/>
  <c r="Q139" i="4"/>
  <c r="Q138" i="4"/>
  <c r="Q135" i="4"/>
  <c r="Q134" i="4"/>
  <c r="Q131" i="4"/>
  <c r="Q130" i="4"/>
  <c r="G138" i="4"/>
  <c r="G130" i="4"/>
  <c r="G134" i="4"/>
  <c r="G139" i="4"/>
  <c r="M80" i="4" l="1"/>
  <c r="M79" i="4"/>
  <c r="M61" i="4"/>
  <c r="N61" i="4" s="1"/>
  <c r="M149" i="4"/>
  <c r="N149" i="4" s="1"/>
  <c r="H150" i="4"/>
  <c r="K150" i="4" s="1"/>
  <c r="L150" i="4" s="1"/>
  <c r="H146" i="4"/>
  <c r="K146" i="4" s="1"/>
  <c r="L146" i="4" s="1"/>
  <c r="M148" i="4"/>
  <c r="O148" i="4" s="1"/>
  <c r="M147" i="4"/>
  <c r="O147" i="4" s="1"/>
  <c r="M145" i="4"/>
  <c r="N145" i="4" s="1"/>
  <c r="E143" i="4"/>
  <c r="I143" i="4"/>
  <c r="S143" i="4"/>
  <c r="V143" i="4" s="1"/>
  <c r="I142" i="4"/>
  <c r="S142" i="4"/>
  <c r="V142" i="4" s="1"/>
  <c r="K142" i="4" s="1"/>
  <c r="P141" i="4"/>
  <c r="P140" i="4"/>
  <c r="P139" i="4"/>
  <c r="P138" i="4"/>
  <c r="P137" i="4"/>
  <c r="P136" i="4"/>
  <c r="P135" i="4"/>
  <c r="P134" i="4"/>
  <c r="P133" i="4"/>
  <c r="P132" i="4"/>
  <c r="P131" i="4"/>
  <c r="P130" i="4"/>
  <c r="G126" i="4"/>
  <c r="G136" i="4"/>
  <c r="G132" i="4"/>
  <c r="G45" i="4"/>
  <c r="G141" i="4"/>
  <c r="G133" i="4"/>
  <c r="G135" i="4"/>
  <c r="G137" i="4"/>
  <c r="G140" i="4"/>
  <c r="G131" i="4"/>
  <c r="G48" i="4"/>
  <c r="X79" i="4" l="1"/>
  <c r="O79" i="4"/>
  <c r="N79" i="4"/>
  <c r="N80" i="4"/>
  <c r="X80" i="4"/>
  <c r="O80" i="4"/>
  <c r="O61" i="4"/>
  <c r="X61" i="4"/>
  <c r="O149" i="4"/>
  <c r="X149" i="4"/>
  <c r="M146" i="4"/>
  <c r="M150" i="4"/>
  <c r="X147" i="4"/>
  <c r="N147" i="4"/>
  <c r="X148" i="4"/>
  <c r="N148" i="4"/>
  <c r="O145" i="4"/>
  <c r="X145" i="4"/>
  <c r="E144" i="4"/>
  <c r="H143" i="4"/>
  <c r="K143" i="4" s="1"/>
  <c r="M142" i="4"/>
  <c r="N142" i="4" s="1"/>
  <c r="L142" i="4"/>
  <c r="I141" i="4"/>
  <c r="S141" i="4"/>
  <c r="V141" i="4" s="1"/>
  <c r="I140" i="4"/>
  <c r="S140" i="4"/>
  <c r="V140" i="4" s="1"/>
  <c r="I139" i="4"/>
  <c r="S139" i="4"/>
  <c r="V139" i="4" s="1"/>
  <c r="I138" i="4"/>
  <c r="E141" i="4" s="1"/>
  <c r="S138" i="4"/>
  <c r="V138" i="4" s="1"/>
  <c r="K138" i="4" s="1"/>
  <c r="S137" i="4"/>
  <c r="V137" i="4" s="1"/>
  <c r="I137" i="4"/>
  <c r="I136" i="4"/>
  <c r="S136" i="4"/>
  <c r="V136" i="4" s="1"/>
  <c r="I135" i="4"/>
  <c r="S135" i="4"/>
  <c r="V135" i="4" s="1"/>
  <c r="I134" i="4"/>
  <c r="E137" i="4" s="1"/>
  <c r="S134" i="4"/>
  <c r="V134" i="4" s="1"/>
  <c r="K134" i="4" s="1"/>
  <c r="I133" i="4"/>
  <c r="S133" i="4"/>
  <c r="V133" i="4" s="1"/>
  <c r="I132" i="4"/>
  <c r="S132" i="4"/>
  <c r="V132" i="4" s="1"/>
  <c r="I131" i="4"/>
  <c r="S131" i="4"/>
  <c r="V131" i="4" s="1"/>
  <c r="I130" i="4"/>
  <c r="E133" i="4" s="1"/>
  <c r="S130" i="4"/>
  <c r="V130" i="4" s="1"/>
  <c r="K130" i="4" s="1"/>
  <c r="P129" i="4"/>
  <c r="P128" i="4"/>
  <c r="P127" i="4"/>
  <c r="Q127" i="4"/>
  <c r="P126" i="4"/>
  <c r="Q126" i="4"/>
  <c r="P125" i="4"/>
  <c r="Q125" i="4"/>
  <c r="P123" i="4"/>
  <c r="Q123" i="4"/>
  <c r="G128" i="4"/>
  <c r="G123" i="4"/>
  <c r="G120" i="4"/>
  <c r="G129" i="4"/>
  <c r="G127" i="4"/>
  <c r="G125" i="4"/>
  <c r="H141" i="4" l="1"/>
  <c r="K141" i="4" s="1"/>
  <c r="L141" i="4" s="1"/>
  <c r="H133" i="4"/>
  <c r="K133" i="4" s="1"/>
  <c r="L133" i="4" s="1"/>
  <c r="C191" i="13"/>
  <c r="G191" i="13" s="1"/>
  <c r="X253" i="13" s="1"/>
  <c r="C190" i="13"/>
  <c r="G190" i="13" s="1"/>
  <c r="P253" i="13" s="1"/>
  <c r="C188" i="13"/>
  <c r="G188" i="13" s="1"/>
  <c r="C192" i="13"/>
  <c r="G192" i="13" s="1"/>
  <c r="P254" i="13" s="1"/>
  <c r="H137" i="4"/>
  <c r="K137" i="4" s="1"/>
  <c r="L137" i="4" s="1"/>
  <c r="N150" i="4"/>
  <c r="X150" i="4"/>
  <c r="O150" i="4"/>
  <c r="H144" i="4"/>
  <c r="K144" i="4" s="1"/>
  <c r="L144" i="4" s="1"/>
  <c r="N146" i="4"/>
  <c r="X146" i="4"/>
  <c r="O146" i="4"/>
  <c r="O142" i="4"/>
  <c r="X142" i="4"/>
  <c r="L143" i="4"/>
  <c r="M143" i="4"/>
  <c r="N143" i="4" s="1"/>
  <c r="E121" i="4"/>
  <c r="E139" i="4"/>
  <c r="H139" i="4" s="1"/>
  <c r="K139" i="4" s="1"/>
  <c r="L139" i="4" s="1"/>
  <c r="H140" i="4"/>
  <c r="K140" i="4" s="1"/>
  <c r="L140" i="4" s="1"/>
  <c r="E135" i="4"/>
  <c r="H135" i="4" s="1"/>
  <c r="K135" i="4" s="1"/>
  <c r="L135" i="4" s="1"/>
  <c r="H136" i="4"/>
  <c r="K136" i="4" s="1"/>
  <c r="L136" i="4" s="1"/>
  <c r="E131" i="4"/>
  <c r="H131" i="4" s="1"/>
  <c r="K131" i="4" s="1"/>
  <c r="L131" i="4" s="1"/>
  <c r="H132" i="4"/>
  <c r="K132" i="4" s="1"/>
  <c r="L132" i="4" s="1"/>
  <c r="M130" i="4"/>
  <c r="O130" i="4" s="1"/>
  <c r="L138" i="4"/>
  <c r="M138" i="4"/>
  <c r="L134" i="4"/>
  <c r="M134" i="4"/>
  <c r="L130" i="4"/>
  <c r="I129" i="4"/>
  <c r="S129" i="4"/>
  <c r="V129" i="4" s="1"/>
  <c r="I128" i="4"/>
  <c r="S128" i="4"/>
  <c r="V128" i="4" s="1"/>
  <c r="I127" i="4"/>
  <c r="S127" i="4"/>
  <c r="V127" i="4" s="1"/>
  <c r="I126" i="4"/>
  <c r="E127" i="4" s="1"/>
  <c r="S126" i="4"/>
  <c r="V126" i="4" s="1"/>
  <c r="K126" i="4" s="1"/>
  <c r="I125" i="4"/>
  <c r="S125" i="4"/>
  <c r="V125" i="4" s="1"/>
  <c r="I123" i="4"/>
  <c r="S123" i="4"/>
  <c r="V123" i="4" s="1"/>
  <c r="P252" i="13" l="1"/>
  <c r="C189" i="13"/>
  <c r="G189" i="13" s="1"/>
  <c r="X252" i="13" s="1"/>
  <c r="C193" i="13"/>
  <c r="G193" i="13" s="1"/>
  <c r="X254" i="13" s="1"/>
  <c r="C185" i="13"/>
  <c r="G185" i="13" s="1"/>
  <c r="X248" i="13" s="1"/>
  <c r="M144" i="4"/>
  <c r="O144" i="4" s="1"/>
  <c r="O143" i="4"/>
  <c r="X143" i="4"/>
  <c r="X130" i="4"/>
  <c r="N130" i="4"/>
  <c r="M141" i="4"/>
  <c r="X141" i="4" s="1"/>
  <c r="M140" i="4"/>
  <c r="O140" i="4" s="1"/>
  <c r="M139" i="4"/>
  <c r="O139" i="4" s="1"/>
  <c r="M137" i="4"/>
  <c r="N137" i="4" s="1"/>
  <c r="M136" i="4"/>
  <c r="O136" i="4" s="1"/>
  <c r="M135" i="4"/>
  <c r="X135" i="4" s="1"/>
  <c r="E129" i="4"/>
  <c r="H129" i="4" s="1"/>
  <c r="K129" i="4" s="1"/>
  <c r="L129" i="4" s="1"/>
  <c r="M132" i="4"/>
  <c r="N132" i="4" s="1"/>
  <c r="M131" i="4"/>
  <c r="N131" i="4" s="1"/>
  <c r="M133" i="4"/>
  <c r="O133" i="4" s="1"/>
  <c r="N138" i="4"/>
  <c r="X138" i="4"/>
  <c r="O138" i="4"/>
  <c r="N134" i="4"/>
  <c r="X134" i="4"/>
  <c r="O134" i="4"/>
  <c r="M126" i="4"/>
  <c r="N126" i="4" s="1"/>
  <c r="L126" i="4"/>
  <c r="P121" i="4"/>
  <c r="Q121" i="4"/>
  <c r="P124" i="4"/>
  <c r="P122" i="4"/>
  <c r="P120" i="4"/>
  <c r="P119" i="4"/>
  <c r="Q119" i="4"/>
  <c r="G121" i="4"/>
  <c r="G122" i="4"/>
  <c r="G124" i="4"/>
  <c r="G119" i="4"/>
  <c r="C182" i="13" l="1"/>
  <c r="G182" i="13" s="1"/>
  <c r="R246" i="13" s="1"/>
  <c r="C184" i="13"/>
  <c r="G184" i="13" s="1"/>
  <c r="X246" i="13" s="1"/>
  <c r="C176" i="13"/>
  <c r="G176" i="13" s="1"/>
  <c r="R244" i="13" s="1"/>
  <c r="C179" i="13"/>
  <c r="G179" i="13" s="1"/>
  <c r="C180" i="13"/>
  <c r="G180" i="13" s="1"/>
  <c r="C186" i="13"/>
  <c r="G186" i="13" s="1"/>
  <c r="P251" i="13" s="1"/>
  <c r="N144" i="4"/>
  <c r="X144" i="4"/>
  <c r="H128" i="4"/>
  <c r="K128" i="4" s="1"/>
  <c r="L128" i="4" s="1"/>
  <c r="H127" i="4"/>
  <c r="K127" i="4" s="1"/>
  <c r="L127" i="4" s="1"/>
  <c r="M129" i="4"/>
  <c r="O129" i="4" s="1"/>
  <c r="E123" i="4"/>
  <c r="N135" i="4"/>
  <c r="O135" i="4"/>
  <c r="X140" i="4"/>
  <c r="O141" i="4"/>
  <c r="N141" i="4"/>
  <c r="X139" i="4"/>
  <c r="N139" i="4"/>
  <c r="O137" i="4"/>
  <c r="X137" i="4"/>
  <c r="N140" i="4"/>
  <c r="X132" i="4"/>
  <c r="O132" i="4"/>
  <c r="O131" i="4"/>
  <c r="N133" i="4"/>
  <c r="X133" i="4"/>
  <c r="X131" i="4"/>
  <c r="X136" i="4"/>
  <c r="N136" i="4"/>
  <c r="O126" i="4"/>
  <c r="X126" i="4"/>
  <c r="E125" i="4"/>
  <c r="I121" i="4"/>
  <c r="H121" i="4" s="1"/>
  <c r="S121" i="4"/>
  <c r="V121" i="4" s="1"/>
  <c r="I124" i="4"/>
  <c r="S124" i="4"/>
  <c r="V124" i="4" s="1"/>
  <c r="K124" i="4" s="1"/>
  <c r="I122" i="4"/>
  <c r="S122" i="4"/>
  <c r="V122" i="4" s="1"/>
  <c r="K122" i="4" s="1"/>
  <c r="I120" i="4"/>
  <c r="S120" i="4"/>
  <c r="V120" i="4" s="1"/>
  <c r="K120" i="4" s="1"/>
  <c r="I119" i="4"/>
  <c r="S119" i="4"/>
  <c r="P118" i="4"/>
  <c r="P112" i="4"/>
  <c r="Q112" i="4"/>
  <c r="P109" i="4"/>
  <c r="P110" i="4"/>
  <c r="P111" i="4"/>
  <c r="G110" i="4"/>
  <c r="G105" i="4"/>
  <c r="G109" i="4"/>
  <c r="G111" i="4"/>
  <c r="G118" i="4"/>
  <c r="G112" i="4"/>
  <c r="V245" i="13" l="1"/>
  <c r="R245" i="13"/>
  <c r="C187" i="13"/>
  <c r="G187" i="13" s="1"/>
  <c r="X251" i="13" s="1"/>
  <c r="C183" i="13"/>
  <c r="G183" i="13" s="1"/>
  <c r="V246" i="13" s="1"/>
  <c r="C173" i="13"/>
  <c r="G173" i="13" s="1"/>
  <c r="R243" i="13" s="1"/>
  <c r="C181" i="13"/>
  <c r="G181" i="13" s="1"/>
  <c r="C177" i="13"/>
  <c r="G177" i="13" s="1"/>
  <c r="C178" i="13"/>
  <c r="G178" i="13" s="1"/>
  <c r="X244" i="13" s="1"/>
  <c r="X129" i="4"/>
  <c r="M128" i="4"/>
  <c r="O128" i="4" s="1"/>
  <c r="N129" i="4"/>
  <c r="H123" i="4"/>
  <c r="K123" i="4" s="1"/>
  <c r="L123" i="4" s="1"/>
  <c r="BA2" i="5" s="1"/>
  <c r="H125" i="4"/>
  <c r="K125" i="4" s="1"/>
  <c r="L125" i="4" s="1"/>
  <c r="BC2" i="5" s="1"/>
  <c r="M127" i="4"/>
  <c r="K121" i="4"/>
  <c r="L121" i="4" s="1"/>
  <c r="AY2" i="5" s="1"/>
  <c r="L124" i="4"/>
  <c r="BB2" i="5" s="1"/>
  <c r="M124" i="4"/>
  <c r="L122" i="4"/>
  <c r="AZ2" i="5" s="1"/>
  <c r="M122" i="4"/>
  <c r="M120" i="4"/>
  <c r="L120" i="4"/>
  <c r="AX2" i="5" s="1"/>
  <c r="I118" i="4"/>
  <c r="S118" i="4"/>
  <c r="V118" i="4" s="1"/>
  <c r="K118" i="4" s="1"/>
  <c r="I112" i="4"/>
  <c r="S112" i="4"/>
  <c r="I109" i="4"/>
  <c r="S109" i="4"/>
  <c r="V109" i="4" s="1"/>
  <c r="K109" i="4" s="1"/>
  <c r="S111" i="4"/>
  <c r="V111" i="4" s="1"/>
  <c r="K111" i="4" s="1"/>
  <c r="I111" i="4"/>
  <c r="I110" i="4"/>
  <c r="S110" i="4"/>
  <c r="V110" i="4" s="1"/>
  <c r="K110" i="4" s="1"/>
  <c r="P106" i="4"/>
  <c r="P105" i="4"/>
  <c r="P104" i="4"/>
  <c r="G106" i="4"/>
  <c r="G69" i="4"/>
  <c r="G104" i="4"/>
  <c r="M118" i="4" l="1"/>
  <c r="N118" i="4" s="1"/>
  <c r="X245" i="13"/>
  <c r="V244" i="13"/>
  <c r="C175" i="13"/>
  <c r="G175" i="13" s="1"/>
  <c r="X243" i="13" s="1"/>
  <c r="N128" i="4"/>
  <c r="X128" i="4"/>
  <c r="M121" i="4"/>
  <c r="O121" i="4" s="1"/>
  <c r="O127" i="4"/>
  <c r="N127" i="4"/>
  <c r="X127" i="4"/>
  <c r="M125" i="4"/>
  <c r="M123" i="4"/>
  <c r="M110" i="4"/>
  <c r="X110" i="4" s="1"/>
  <c r="M111" i="4"/>
  <c r="O111" i="4" s="1"/>
  <c r="M109" i="4"/>
  <c r="X109" i="4" s="1"/>
  <c r="N124" i="4"/>
  <c r="O124" i="4"/>
  <c r="X124" i="4"/>
  <c r="N122" i="4"/>
  <c r="X122" i="4"/>
  <c r="O122" i="4"/>
  <c r="N120" i="4"/>
  <c r="O120" i="4"/>
  <c r="X120" i="4"/>
  <c r="L118" i="4"/>
  <c r="L110" i="4"/>
  <c r="AU2" i="5" s="1"/>
  <c r="L111" i="4"/>
  <c r="AV2" i="5" s="1"/>
  <c r="L109" i="4"/>
  <c r="AT2" i="5" s="1"/>
  <c r="I106" i="4"/>
  <c r="S106" i="4"/>
  <c r="V106" i="4" s="1"/>
  <c r="K106" i="4" s="1"/>
  <c r="I105" i="4"/>
  <c r="S105" i="4"/>
  <c r="V105" i="4" s="1"/>
  <c r="K105" i="4" s="1"/>
  <c r="I104" i="4"/>
  <c r="S104" i="4"/>
  <c r="V104" i="4" s="1"/>
  <c r="K104" i="4" s="1"/>
  <c r="G85" i="4"/>
  <c r="G83" i="4"/>
  <c r="G84" i="4"/>
  <c r="E97" i="4" l="1"/>
  <c r="M105" i="4"/>
  <c r="N105" i="4" s="1"/>
  <c r="O118" i="4"/>
  <c r="X118" i="4"/>
  <c r="M106" i="4"/>
  <c r="O106" i="4" s="1"/>
  <c r="X121" i="4"/>
  <c r="C174" i="13"/>
  <c r="G174" i="13" s="1"/>
  <c r="V243" i="13" s="1"/>
  <c r="C169" i="13"/>
  <c r="G169" i="13" s="1"/>
  <c r="C171" i="13"/>
  <c r="G171" i="13" s="1"/>
  <c r="N121" i="4"/>
  <c r="C167" i="13"/>
  <c r="G167" i="13" s="1"/>
  <c r="X125" i="4"/>
  <c r="O125" i="4"/>
  <c r="N125" i="4"/>
  <c r="O123" i="4"/>
  <c r="N123" i="4"/>
  <c r="X123" i="4"/>
  <c r="X111" i="4"/>
  <c r="N111" i="4"/>
  <c r="N109" i="4"/>
  <c r="O110" i="4"/>
  <c r="M104" i="4"/>
  <c r="O104" i="4" s="1"/>
  <c r="O109" i="4"/>
  <c r="N110" i="4"/>
  <c r="L106" i="4"/>
  <c r="AS2" i="5" s="1"/>
  <c r="L105" i="4"/>
  <c r="AR2" i="5" s="1"/>
  <c r="L104" i="4"/>
  <c r="AQ2" i="5" s="1"/>
  <c r="P86" i="4"/>
  <c r="P87" i="4"/>
  <c r="P88" i="4"/>
  <c r="P96" i="4"/>
  <c r="P97" i="4"/>
  <c r="P98" i="4"/>
  <c r="P99" i="4"/>
  <c r="P100" i="4"/>
  <c r="P101" i="4"/>
  <c r="P102" i="4"/>
  <c r="G68" i="4"/>
  <c r="G76" i="4"/>
  <c r="G87" i="4"/>
  <c r="G62" i="4"/>
  <c r="G75" i="4"/>
  <c r="G88" i="4"/>
  <c r="G70" i="4"/>
  <c r="G97" i="4"/>
  <c r="G101" i="4"/>
  <c r="G102" i="4"/>
  <c r="G73" i="4"/>
  <c r="G71" i="4"/>
  <c r="G100" i="4"/>
  <c r="G67" i="4"/>
  <c r="G66" i="4"/>
  <c r="G74" i="4"/>
  <c r="G86" i="4"/>
  <c r="G60" i="4"/>
  <c r="G65" i="4"/>
  <c r="G72" i="4"/>
  <c r="G96" i="4" l="1"/>
  <c r="C165" i="13"/>
  <c r="C168" i="13"/>
  <c r="G168" i="13" s="1"/>
  <c r="X232" i="13" s="1"/>
  <c r="X105" i="4"/>
  <c r="O105" i="4"/>
  <c r="X106" i="4"/>
  <c r="N106" i="4"/>
  <c r="C172" i="13"/>
  <c r="G172" i="13" s="1"/>
  <c r="X238" i="13" s="1"/>
  <c r="C170" i="13"/>
  <c r="G170" i="13" s="1"/>
  <c r="X233" i="13" s="1"/>
  <c r="E63" i="4"/>
  <c r="N104" i="4"/>
  <c r="G64" i="4"/>
  <c r="B115" i="13" s="1"/>
  <c r="X104" i="4"/>
  <c r="E64" i="4"/>
  <c r="I100" i="4"/>
  <c r="S100" i="4"/>
  <c r="V100" i="4" s="1"/>
  <c r="I88" i="4"/>
  <c r="S88" i="4"/>
  <c r="V88" i="4" s="1"/>
  <c r="K88" i="4" s="1"/>
  <c r="I102" i="4"/>
  <c r="S102" i="4"/>
  <c r="V102" i="4" s="1"/>
  <c r="K102" i="4" s="1"/>
  <c r="I87" i="4"/>
  <c r="S87" i="4"/>
  <c r="V87" i="4" s="1"/>
  <c r="K87" i="4" s="1"/>
  <c r="I101" i="4"/>
  <c r="S101" i="4"/>
  <c r="V101" i="4" s="1"/>
  <c r="K101" i="4" s="1"/>
  <c r="I86" i="4"/>
  <c r="S86" i="4"/>
  <c r="V86" i="4" s="1"/>
  <c r="K86" i="4" s="1"/>
  <c r="I98" i="4"/>
  <c r="G99" i="4" s="1"/>
  <c r="S98" i="4"/>
  <c r="V98" i="4" s="1"/>
  <c r="K98" i="4" s="1"/>
  <c r="I97" i="4"/>
  <c r="S97" i="4"/>
  <c r="V97" i="4" s="1"/>
  <c r="E78" i="4"/>
  <c r="E77" i="4"/>
  <c r="E76" i="4"/>
  <c r="E75" i="4"/>
  <c r="E74" i="4"/>
  <c r="E73" i="4"/>
  <c r="E72" i="4"/>
  <c r="E71" i="4"/>
  <c r="E70" i="4"/>
  <c r="E69" i="4"/>
  <c r="G47" i="4"/>
  <c r="G51" i="4"/>
  <c r="G49" i="4"/>
  <c r="G44" i="4"/>
  <c r="G50" i="4"/>
  <c r="G46" i="4"/>
  <c r="G43" i="4"/>
  <c r="G165" i="13" l="1"/>
  <c r="X219" i="13" s="1"/>
  <c r="B146" i="13"/>
  <c r="B143" i="13"/>
  <c r="M87" i="4"/>
  <c r="N87" i="4" s="1"/>
  <c r="H63" i="4"/>
  <c r="K63" i="4" s="1"/>
  <c r="L63" i="4" s="1"/>
  <c r="M102" i="4"/>
  <c r="X102" i="4" s="1"/>
  <c r="M86" i="4"/>
  <c r="N86" i="4" s="1"/>
  <c r="M88" i="4"/>
  <c r="X88" i="4" s="1"/>
  <c r="M101" i="4"/>
  <c r="O101" i="4" s="1"/>
  <c r="H99" i="4"/>
  <c r="M98" i="4"/>
  <c r="X98" i="4" s="1"/>
  <c r="H97" i="4"/>
  <c r="K97" i="4" s="1"/>
  <c r="L97" i="4" s="1"/>
  <c r="AK2" i="5" s="1"/>
  <c r="L101" i="4"/>
  <c r="AN2" i="5" s="1"/>
  <c r="L86" i="4"/>
  <c r="AH2" i="5" s="1"/>
  <c r="L88" i="4"/>
  <c r="AJ2" i="5" s="1"/>
  <c r="L87" i="4"/>
  <c r="AI2" i="5" s="1"/>
  <c r="L98" i="4"/>
  <c r="L102" i="4"/>
  <c r="AO2" i="5" s="1"/>
  <c r="P66" i="4"/>
  <c r="P67" i="4"/>
  <c r="P68" i="4"/>
  <c r="P69" i="4"/>
  <c r="P70" i="4"/>
  <c r="P71" i="4"/>
  <c r="P72" i="4"/>
  <c r="P73" i="4"/>
  <c r="P74" i="4"/>
  <c r="P75" i="4"/>
  <c r="P76" i="4"/>
  <c r="P77" i="4"/>
  <c r="P78" i="4"/>
  <c r="P81" i="4"/>
  <c r="P82" i="4"/>
  <c r="P83" i="4"/>
  <c r="P84" i="4"/>
  <c r="P85" i="4"/>
  <c r="C145" i="13" l="1"/>
  <c r="G145" i="13" s="1"/>
  <c r="X177" i="13" s="1"/>
  <c r="C135" i="13"/>
  <c r="G135" i="13" s="1"/>
  <c r="X87" i="4"/>
  <c r="O87" i="4"/>
  <c r="M63" i="4"/>
  <c r="O86" i="4"/>
  <c r="X86" i="4"/>
  <c r="N101" i="4"/>
  <c r="O88" i="4"/>
  <c r="N88" i="4"/>
  <c r="X101" i="4"/>
  <c r="N102" i="4"/>
  <c r="O102" i="4"/>
  <c r="M97" i="4"/>
  <c r="N97" i="4" s="1"/>
  <c r="E100" i="4"/>
  <c r="H100" i="4" s="1"/>
  <c r="I99" i="4"/>
  <c r="S99" i="4"/>
  <c r="V99" i="4" s="1"/>
  <c r="K99" i="4" s="1"/>
  <c r="O98" i="4"/>
  <c r="N98" i="4"/>
  <c r="I72" i="4"/>
  <c r="H72" i="4" s="1"/>
  <c r="S72" i="4"/>
  <c r="V72" i="4" s="1"/>
  <c r="I71" i="4"/>
  <c r="H71" i="4" s="1"/>
  <c r="S71" i="4"/>
  <c r="V71" i="4" s="1"/>
  <c r="S85" i="4"/>
  <c r="V85" i="4" s="1"/>
  <c r="K85" i="4" s="1"/>
  <c r="I85" i="4"/>
  <c r="S75" i="4"/>
  <c r="V75" i="4" s="1"/>
  <c r="I75" i="4"/>
  <c r="H75" i="4" s="1"/>
  <c r="I67" i="4"/>
  <c r="S67" i="4"/>
  <c r="V67" i="4" s="1"/>
  <c r="K67" i="4" s="1"/>
  <c r="I70" i="4"/>
  <c r="H70" i="4" s="1"/>
  <c r="S70" i="4"/>
  <c r="V70" i="4" s="1"/>
  <c r="I77" i="4"/>
  <c r="H77" i="4" s="1"/>
  <c r="S77" i="4"/>
  <c r="V77" i="4" s="1"/>
  <c r="I69" i="4"/>
  <c r="S69" i="4"/>
  <c r="V69" i="4" s="1"/>
  <c r="I76" i="4"/>
  <c r="H76" i="4" s="1"/>
  <c r="S76" i="4"/>
  <c r="V76" i="4" s="1"/>
  <c r="I68" i="4"/>
  <c r="S68" i="4"/>
  <c r="V68" i="4" s="1"/>
  <c r="K68" i="4" s="1"/>
  <c r="I78" i="4"/>
  <c r="H78" i="4" s="1"/>
  <c r="S78" i="4"/>
  <c r="V78" i="4" s="1"/>
  <c r="I84" i="4"/>
  <c r="S84" i="4"/>
  <c r="V84" i="4" s="1"/>
  <c r="K84" i="4" s="1"/>
  <c r="I74" i="4"/>
  <c r="H74" i="4" s="1"/>
  <c r="S74" i="4"/>
  <c r="V74" i="4" s="1"/>
  <c r="I66" i="4"/>
  <c r="S66" i="4"/>
  <c r="V66" i="4" s="1"/>
  <c r="K66" i="4" s="1"/>
  <c r="I83" i="4"/>
  <c r="S83" i="4"/>
  <c r="V83" i="4" s="1"/>
  <c r="K83" i="4" s="1"/>
  <c r="I73" i="4"/>
  <c r="S73" i="4"/>
  <c r="V73" i="4" s="1"/>
  <c r="Q56" i="4"/>
  <c r="P56" i="4"/>
  <c r="Q55" i="4"/>
  <c r="P55" i="4"/>
  <c r="Q54" i="4"/>
  <c r="P54" i="4"/>
  <c r="G54" i="4"/>
  <c r="G55" i="4"/>
  <c r="G56" i="4"/>
  <c r="M85" i="4" l="1"/>
  <c r="N85" i="4" s="1"/>
  <c r="C134" i="13"/>
  <c r="G134" i="13" s="1"/>
  <c r="C133" i="13"/>
  <c r="G133" i="13" s="1"/>
  <c r="O63" i="4"/>
  <c r="N63" i="4"/>
  <c r="X63" i="4"/>
  <c r="M84" i="4"/>
  <c r="O84" i="4" s="1"/>
  <c r="M66" i="4"/>
  <c r="O66" i="4" s="1"/>
  <c r="M68" i="4"/>
  <c r="N68" i="4" s="1"/>
  <c r="M67" i="4"/>
  <c r="N67" i="4" s="1"/>
  <c r="X97" i="4"/>
  <c r="O97" i="4"/>
  <c r="K78" i="4"/>
  <c r="L78" i="4" s="1"/>
  <c r="AD2" i="5" s="1"/>
  <c r="K77" i="4"/>
  <c r="L77" i="4" s="1"/>
  <c r="AC2" i="5" s="1"/>
  <c r="K100" i="4"/>
  <c r="L100" i="4" s="1"/>
  <c r="AM2" i="5" s="1"/>
  <c r="M99" i="4"/>
  <c r="X99" i="4" s="1"/>
  <c r="L99" i="4"/>
  <c r="AL2" i="5" s="1"/>
  <c r="K70" i="4"/>
  <c r="L70" i="4" s="1"/>
  <c r="V2" i="5" s="1"/>
  <c r="K71" i="4"/>
  <c r="L71" i="4" s="1"/>
  <c r="W2" i="5" s="1"/>
  <c r="K74" i="4"/>
  <c r="L74" i="4" s="1"/>
  <c r="Z2" i="5" s="1"/>
  <c r="K76" i="4"/>
  <c r="L76" i="4" s="1"/>
  <c r="AB2" i="5" s="1"/>
  <c r="K72" i="4"/>
  <c r="L72" i="4" s="1"/>
  <c r="X2" i="5" s="1"/>
  <c r="K75" i="4"/>
  <c r="L75" i="4" s="1"/>
  <c r="AA2" i="5" s="1"/>
  <c r="H73" i="4"/>
  <c r="K73" i="4" s="1"/>
  <c r="L73" i="4" s="1"/>
  <c r="Y2" i="5" s="1"/>
  <c r="H69" i="4"/>
  <c r="K69" i="4" s="1"/>
  <c r="L69" i="4" s="1"/>
  <c r="U2" i="5" s="1"/>
  <c r="L83" i="4"/>
  <c r="AE2" i="5" s="1"/>
  <c r="M83" i="4"/>
  <c r="L66" i="4"/>
  <c r="R2" i="5" s="1"/>
  <c r="L68" i="4"/>
  <c r="T2" i="5" s="1"/>
  <c r="L67" i="4"/>
  <c r="S2" i="5" s="1"/>
  <c r="L84" i="4"/>
  <c r="AF2" i="5" s="1"/>
  <c r="L85" i="4"/>
  <c r="AG2" i="5" s="1"/>
  <c r="S54" i="4"/>
  <c r="V54" i="4" s="1"/>
  <c r="I54" i="4"/>
  <c r="S56" i="4"/>
  <c r="V56" i="4" s="1"/>
  <c r="I56" i="4"/>
  <c r="S55" i="4"/>
  <c r="V55" i="4" s="1"/>
  <c r="I55" i="4"/>
  <c r="P57" i="4"/>
  <c r="Q57" i="4"/>
  <c r="Q53" i="4"/>
  <c r="P53" i="4"/>
  <c r="Q52" i="4"/>
  <c r="P52" i="4"/>
  <c r="Q51" i="4"/>
  <c r="P51" i="4"/>
  <c r="Q50" i="4"/>
  <c r="P50" i="4"/>
  <c r="Q49" i="4"/>
  <c r="P49" i="4"/>
  <c r="Q48" i="4"/>
  <c r="P48" i="4"/>
  <c r="Q47" i="4"/>
  <c r="P47" i="4"/>
  <c r="Q46" i="4"/>
  <c r="P46" i="4"/>
  <c r="Q45" i="4"/>
  <c r="P45" i="4"/>
  <c r="G52" i="4"/>
  <c r="G53" i="4"/>
  <c r="O85" i="4" l="1"/>
  <c r="X85" i="4"/>
  <c r="C132" i="13" s="1"/>
  <c r="G132" i="13" s="1"/>
  <c r="M77" i="4"/>
  <c r="O77" i="4" s="1"/>
  <c r="C144" i="13"/>
  <c r="G144" i="13" s="1"/>
  <c r="X172" i="13" s="1"/>
  <c r="C146" i="13"/>
  <c r="G146" i="13" s="1"/>
  <c r="C114" i="13"/>
  <c r="G114" i="13" s="1"/>
  <c r="X131" i="13" s="1"/>
  <c r="M78" i="4"/>
  <c r="N78" i="4" s="1"/>
  <c r="X67" i="4"/>
  <c r="O68" i="4"/>
  <c r="O67" i="4"/>
  <c r="X66" i="4"/>
  <c r="N66" i="4"/>
  <c r="X68" i="4"/>
  <c r="N84" i="4"/>
  <c r="X84" i="4"/>
  <c r="M76" i="4"/>
  <c r="O76" i="4" s="1"/>
  <c r="M72" i="4"/>
  <c r="N72" i="4" s="1"/>
  <c r="M74" i="4"/>
  <c r="O74" i="4" s="1"/>
  <c r="M100" i="4"/>
  <c r="O100" i="4" s="1"/>
  <c r="M70" i="4"/>
  <c r="N70" i="4" s="1"/>
  <c r="M75" i="4"/>
  <c r="N75" i="4" s="1"/>
  <c r="M73" i="4"/>
  <c r="O73" i="4" s="1"/>
  <c r="M71" i="4"/>
  <c r="O71" i="4" s="1"/>
  <c r="O99" i="4"/>
  <c r="N99" i="4"/>
  <c r="M69" i="4"/>
  <c r="S96" i="4"/>
  <c r="V96" i="4" s="1"/>
  <c r="K96" i="4" s="1"/>
  <c r="I96" i="4"/>
  <c r="N83" i="4"/>
  <c r="X83" i="4"/>
  <c r="O83" i="4"/>
  <c r="I51" i="4"/>
  <c r="S51" i="4"/>
  <c r="V51" i="4" s="1"/>
  <c r="S53" i="4"/>
  <c r="V53" i="4" s="1"/>
  <c r="I53" i="4"/>
  <c r="S52" i="4"/>
  <c r="V52" i="4" s="1"/>
  <c r="I52" i="4"/>
  <c r="S50" i="4"/>
  <c r="V50" i="4" s="1"/>
  <c r="I50" i="4"/>
  <c r="S49" i="4"/>
  <c r="V49" i="4" s="1"/>
  <c r="I49" i="4"/>
  <c r="S48" i="4"/>
  <c r="V48" i="4" s="1"/>
  <c r="I48" i="4"/>
  <c r="S45" i="4"/>
  <c r="V45" i="4" s="1"/>
  <c r="I45" i="4"/>
  <c r="S47" i="4"/>
  <c r="V47" i="4" s="1"/>
  <c r="I47" i="4"/>
  <c r="S46" i="4"/>
  <c r="V46" i="4" s="1"/>
  <c r="I46" i="4"/>
  <c r="X77" i="4" l="1"/>
  <c r="N77" i="4"/>
  <c r="C119" i="13"/>
  <c r="G119" i="13" s="1"/>
  <c r="X139" i="13" s="1"/>
  <c r="C117" i="13"/>
  <c r="G117" i="13" s="1"/>
  <c r="X135" i="13" s="1"/>
  <c r="C130" i="13"/>
  <c r="G130" i="13" s="1"/>
  <c r="C118" i="13"/>
  <c r="G118" i="13" s="1"/>
  <c r="X137" i="13" s="1"/>
  <c r="C131" i="13"/>
  <c r="G131" i="13" s="1"/>
  <c r="X78" i="4"/>
  <c r="O78" i="4"/>
  <c r="O72" i="4"/>
  <c r="X70" i="4"/>
  <c r="X72" i="4"/>
  <c r="X74" i="4"/>
  <c r="O75" i="4"/>
  <c r="X75" i="4"/>
  <c r="N74" i="4"/>
  <c r="O70" i="4"/>
  <c r="N76" i="4"/>
  <c r="X76" i="4"/>
  <c r="N71" i="4"/>
  <c r="N100" i="4"/>
  <c r="X100" i="4"/>
  <c r="X71" i="4"/>
  <c r="N73" i="4"/>
  <c r="X73" i="4"/>
  <c r="N69" i="4"/>
  <c r="O69" i="4"/>
  <c r="X69" i="4"/>
  <c r="M96" i="4"/>
  <c r="L96" i="4"/>
  <c r="P39" i="4"/>
  <c r="P40" i="4"/>
  <c r="P41" i="4"/>
  <c r="P42" i="4"/>
  <c r="P43" i="4"/>
  <c r="P44" i="4"/>
  <c r="P58" i="4"/>
  <c r="P59" i="4"/>
  <c r="P60" i="4"/>
  <c r="P62" i="4"/>
  <c r="P64" i="4"/>
  <c r="P65" i="4"/>
  <c r="P103" i="4"/>
  <c r="Q39" i="4"/>
  <c r="Q40" i="4"/>
  <c r="Q42" i="4"/>
  <c r="Q43" i="4"/>
  <c r="Q44" i="4"/>
  <c r="Q58" i="4"/>
  <c r="Q59" i="4"/>
  <c r="Q60" i="4"/>
  <c r="Q64" i="4"/>
  <c r="P36" i="4"/>
  <c r="P37" i="4"/>
  <c r="Q36" i="4"/>
  <c r="Q37" i="4"/>
  <c r="P34" i="4"/>
  <c r="Q34" i="4"/>
  <c r="G103" i="4"/>
  <c r="G37" i="4"/>
  <c r="G36" i="4"/>
  <c r="G34" i="4"/>
  <c r="C128" i="13" l="1"/>
  <c r="G128" i="13" s="1"/>
  <c r="X163" i="13" s="1"/>
  <c r="C124" i="13"/>
  <c r="G124" i="13" s="1"/>
  <c r="X153" i="13" s="1"/>
  <c r="C129" i="13"/>
  <c r="G129" i="13" s="1"/>
  <c r="X164" i="13" s="1"/>
  <c r="C127" i="13"/>
  <c r="G127" i="13" s="1"/>
  <c r="X159" i="13" s="1"/>
  <c r="C122" i="13"/>
  <c r="G122" i="13" s="1"/>
  <c r="X148" i="13" s="1"/>
  <c r="C126" i="13"/>
  <c r="G126" i="13" s="1"/>
  <c r="X158" i="13" s="1"/>
  <c r="C121" i="13"/>
  <c r="G121" i="13" s="1"/>
  <c r="X144" i="13" s="1"/>
  <c r="C147" i="13"/>
  <c r="G147" i="13" s="1"/>
  <c r="X179" i="13" s="1"/>
  <c r="C125" i="13"/>
  <c r="G125" i="13" s="1"/>
  <c r="X154" i="13" s="1"/>
  <c r="C120" i="13"/>
  <c r="G120" i="13" s="1"/>
  <c r="X143" i="13" s="1"/>
  <c r="C123" i="13"/>
  <c r="G123" i="13" s="1"/>
  <c r="X149" i="13" s="1"/>
  <c r="N96" i="4"/>
  <c r="O96" i="4"/>
  <c r="X96" i="4"/>
  <c r="S40" i="4"/>
  <c r="V40" i="4" s="1"/>
  <c r="I40" i="4"/>
  <c r="I42" i="4"/>
  <c r="S42" i="4"/>
  <c r="V42" i="4" s="1"/>
  <c r="S60" i="4"/>
  <c r="I60" i="4"/>
  <c r="I43" i="4"/>
  <c r="S43" i="4"/>
  <c r="V43" i="4" s="1"/>
  <c r="I44" i="4"/>
  <c r="S44" i="4"/>
  <c r="V44" i="4" s="1"/>
  <c r="I62" i="4"/>
  <c r="S62" i="4"/>
  <c r="V62" i="4" s="1"/>
  <c r="K62" i="4" s="1"/>
  <c r="I41" i="4"/>
  <c r="S41" i="4"/>
  <c r="V41" i="4" s="1"/>
  <c r="K41" i="4" s="1"/>
  <c r="I103" i="4"/>
  <c r="S103" i="4"/>
  <c r="V103" i="4" s="1"/>
  <c r="K103" i="4" s="1"/>
  <c r="I65" i="4"/>
  <c r="S65" i="4"/>
  <c r="V65" i="4" s="1"/>
  <c r="K65" i="4" s="1"/>
  <c r="I36" i="4"/>
  <c r="S36" i="4"/>
  <c r="V36" i="4" s="1"/>
  <c r="K36" i="4" s="1"/>
  <c r="I37" i="4"/>
  <c r="S37" i="4"/>
  <c r="S34" i="4"/>
  <c r="V34" i="4" s="1"/>
  <c r="K34" i="4" s="1"/>
  <c r="I34" i="4"/>
  <c r="F71" i="14"/>
  <c r="E71" i="14"/>
  <c r="I70" i="14"/>
  <c r="I69" i="14"/>
  <c r="I68" i="14"/>
  <c r="I67" i="14"/>
  <c r="I66" i="14"/>
  <c r="I65" i="14"/>
  <c r="I64" i="14"/>
  <c r="I63" i="14"/>
  <c r="I61" i="14"/>
  <c r="I60" i="14"/>
  <c r="I59" i="14"/>
  <c r="I58" i="14"/>
  <c r="I57" i="14"/>
  <c r="I56" i="14"/>
  <c r="I55" i="14"/>
  <c r="I54" i="14"/>
  <c r="I53" i="14"/>
  <c r="I52" i="14"/>
  <c r="I50" i="14"/>
  <c r="I49" i="14"/>
  <c r="I48" i="14"/>
  <c r="I47" i="14"/>
  <c r="H33" i="14"/>
  <c r="G33" i="14"/>
  <c r="I32" i="14"/>
  <c r="I31" i="14"/>
  <c r="I30" i="14"/>
  <c r="I29" i="14"/>
  <c r="I28" i="14"/>
  <c r="I27" i="14"/>
  <c r="I26" i="14"/>
  <c r="I25" i="14"/>
  <c r="I24" i="14"/>
  <c r="I23" i="14"/>
  <c r="I22" i="14"/>
  <c r="I21" i="14"/>
  <c r="C143" i="13" l="1"/>
  <c r="G143" i="13" s="1"/>
  <c r="X166" i="13" s="1"/>
  <c r="I78" i="14"/>
  <c r="B42" i="14" s="1"/>
  <c r="G72" i="14"/>
  <c r="I71" i="14"/>
  <c r="M65" i="4"/>
  <c r="O65" i="4" s="1"/>
  <c r="M103" i="4"/>
  <c r="O103" i="4" s="1"/>
  <c r="H42" i="4"/>
  <c r="H43" i="4" s="1"/>
  <c r="M36" i="4"/>
  <c r="O36" i="4" s="1"/>
  <c r="M34" i="4"/>
  <c r="O34" i="4" s="1"/>
  <c r="H60" i="4"/>
  <c r="M62" i="4"/>
  <c r="X62" i="4" s="1"/>
  <c r="L41" i="4"/>
  <c r="K2" i="5" s="1"/>
  <c r="M41" i="4"/>
  <c r="S59" i="4"/>
  <c r="V59" i="4" s="1"/>
  <c r="K59" i="4" s="1"/>
  <c r="I59" i="4"/>
  <c r="I64" i="4"/>
  <c r="S64" i="4"/>
  <c r="V64" i="4" s="1"/>
  <c r="L62" i="4"/>
  <c r="O2" i="5" s="1"/>
  <c r="L103" i="4"/>
  <c r="AP2" i="5" s="1"/>
  <c r="L65" i="4"/>
  <c r="Q2" i="5" s="1"/>
  <c r="L36" i="4"/>
  <c r="L34" i="4"/>
  <c r="C113" i="13" l="1"/>
  <c r="G113" i="13" s="1"/>
  <c r="X130" i="13" s="1"/>
  <c r="N103" i="4"/>
  <c r="X103" i="4"/>
  <c r="X65" i="4"/>
  <c r="N65" i="4"/>
  <c r="D82" i="13"/>
  <c r="E44" i="4"/>
  <c r="E43" i="4"/>
  <c r="H44" i="4"/>
  <c r="K44" i="4" s="1"/>
  <c r="L44" i="4" s="1"/>
  <c r="H45" i="4"/>
  <c r="K43" i="4"/>
  <c r="L43" i="4" s="1"/>
  <c r="X36" i="4"/>
  <c r="N36" i="4"/>
  <c r="X34" i="4"/>
  <c r="N34" i="4"/>
  <c r="G81" i="4"/>
  <c r="I81" i="4" s="1"/>
  <c r="G82" i="4"/>
  <c r="I82" i="4" s="1"/>
  <c r="O62" i="4"/>
  <c r="N62" i="4"/>
  <c r="K64" i="4"/>
  <c r="L64" i="4" s="1"/>
  <c r="P2" i="5" s="1"/>
  <c r="M59" i="4"/>
  <c r="O59" i="4" s="1"/>
  <c r="K42" i="4"/>
  <c r="M42" i="4" s="1"/>
  <c r="O42" i="4" s="1"/>
  <c r="O41" i="4"/>
  <c r="N41" i="4"/>
  <c r="X41" i="4"/>
  <c r="L59" i="4"/>
  <c r="M2" i="5" s="1"/>
  <c r="B3" i="7"/>
  <c r="D7" i="3"/>
  <c r="D6" i="3"/>
  <c r="D8" i="3"/>
  <c r="I83" i="13" l="1"/>
  <c r="U38" i="4"/>
  <c r="C66" i="13"/>
  <c r="G66" i="13" s="1"/>
  <c r="X55" i="13" s="1"/>
  <c r="C83" i="13"/>
  <c r="G83" i="13" s="1"/>
  <c r="X87" i="13" s="1"/>
  <c r="C67" i="13"/>
  <c r="G67" i="13" s="1"/>
  <c r="X57" i="13" s="1"/>
  <c r="C116" i="13"/>
  <c r="G116" i="13" s="1"/>
  <c r="X133" i="13" s="1"/>
  <c r="I84" i="13"/>
  <c r="H39" i="4"/>
  <c r="I85" i="13"/>
  <c r="K40" i="4"/>
  <c r="H46" i="4"/>
  <c r="K46" i="4" s="1"/>
  <c r="H48" i="4"/>
  <c r="H47" i="4"/>
  <c r="K47" i="4" s="1"/>
  <c r="E46" i="4"/>
  <c r="E47" i="4"/>
  <c r="M44" i="4"/>
  <c r="N44" i="4" s="1"/>
  <c r="S81" i="4"/>
  <c r="V81" i="4" s="1"/>
  <c r="K81" i="4" s="1"/>
  <c r="M81" i="4" s="1"/>
  <c r="S82" i="4"/>
  <c r="V82" i="4" s="1"/>
  <c r="K82" i="4" s="1"/>
  <c r="M82" i="4" s="1"/>
  <c r="M64" i="4"/>
  <c r="N59" i="4"/>
  <c r="X59" i="4"/>
  <c r="N42" i="4"/>
  <c r="X42" i="4"/>
  <c r="M43" i="4"/>
  <c r="K45" i="4"/>
  <c r="L42" i="4"/>
  <c r="C84" i="13" l="1"/>
  <c r="G84" i="13" s="1"/>
  <c r="L90" i="13" s="1"/>
  <c r="C111" i="13"/>
  <c r="G111" i="13" s="1"/>
  <c r="X120" i="13" s="1"/>
  <c r="L40" i="4"/>
  <c r="M40" i="4"/>
  <c r="H51" i="4"/>
  <c r="H49" i="4"/>
  <c r="K49" i="4" s="1"/>
  <c r="E50" i="4"/>
  <c r="H50" i="4"/>
  <c r="K50" i="4" s="1"/>
  <c r="E49" i="4"/>
  <c r="X44" i="4"/>
  <c r="O44" i="4"/>
  <c r="L81" i="4"/>
  <c r="L82" i="4"/>
  <c r="O82" i="4"/>
  <c r="N82" i="4"/>
  <c r="X82" i="4"/>
  <c r="N81" i="4"/>
  <c r="O81" i="4"/>
  <c r="X81" i="4"/>
  <c r="X64" i="4"/>
  <c r="N64" i="4"/>
  <c r="O64" i="4"/>
  <c r="K48" i="4"/>
  <c r="X43" i="4"/>
  <c r="N43" i="4"/>
  <c r="O43" i="4"/>
  <c r="L47" i="4"/>
  <c r="M47" i="4"/>
  <c r="L46" i="4"/>
  <c r="M46" i="4"/>
  <c r="M45" i="4"/>
  <c r="L45" i="4"/>
  <c r="D14" i="3"/>
  <c r="D13" i="3"/>
  <c r="D12" i="3"/>
  <c r="D11" i="3"/>
  <c r="H53" i="4" l="1"/>
  <c r="K53" i="4" s="1"/>
  <c r="L53" i="4" s="1"/>
  <c r="C115" i="13"/>
  <c r="G115" i="13" s="1"/>
  <c r="C86" i="13"/>
  <c r="G86" i="13" s="1"/>
  <c r="X90" i="13" s="1"/>
  <c r="F166" i="13"/>
  <c r="W222" i="13" s="1"/>
  <c r="C85" i="13"/>
  <c r="G85" i="13" s="1"/>
  <c r="T90" i="13" s="1"/>
  <c r="V119" i="4"/>
  <c r="K119" i="4" s="1"/>
  <c r="L119" i="4" s="1"/>
  <c r="U58" i="4"/>
  <c r="U37" i="4"/>
  <c r="V37" i="4" s="1"/>
  <c r="K37" i="4" s="1"/>
  <c r="X40" i="4"/>
  <c r="O40" i="4"/>
  <c r="N40" i="4"/>
  <c r="E52" i="4"/>
  <c r="H52" i="4"/>
  <c r="K52" i="4" s="1"/>
  <c r="L52" i="4" s="1"/>
  <c r="K51" i="4"/>
  <c r="L51" i="4" s="1"/>
  <c r="E53" i="4"/>
  <c r="H54" i="4"/>
  <c r="H55" i="4" s="1"/>
  <c r="K55" i="4" s="1"/>
  <c r="L55" i="4" s="1"/>
  <c r="U112" i="4"/>
  <c r="V60" i="4"/>
  <c r="K60" i="4" s="1"/>
  <c r="L48" i="4"/>
  <c r="M48" i="4"/>
  <c r="L49" i="4"/>
  <c r="M49" i="4"/>
  <c r="L50" i="4"/>
  <c r="M50" i="4"/>
  <c r="O45" i="4"/>
  <c r="N45" i="4"/>
  <c r="X45" i="4"/>
  <c r="X47" i="4"/>
  <c r="O47" i="4"/>
  <c r="N47" i="4"/>
  <c r="N46" i="4"/>
  <c r="X46" i="4"/>
  <c r="O46" i="4"/>
  <c r="F25" i="13"/>
  <c r="E25" i="13"/>
  <c r="D25" i="13"/>
  <c r="P15" i="4"/>
  <c r="Q15" i="4"/>
  <c r="G57" i="4" l="1"/>
  <c r="S57" i="4" s="1"/>
  <c r="V57" i="4" s="1"/>
  <c r="K57" i="4" s="1"/>
  <c r="M53" i="4"/>
  <c r="X53" i="4" s="1"/>
  <c r="C87" i="13"/>
  <c r="G87" i="13" s="1"/>
  <c r="L91" i="13" s="1"/>
  <c r="C82" i="13"/>
  <c r="G82" i="13" s="1"/>
  <c r="X85" i="13" s="1"/>
  <c r="C88" i="13"/>
  <c r="G88" i="13" s="1"/>
  <c r="T91" i="13" s="1"/>
  <c r="F68" i="13"/>
  <c r="W61" i="13" s="1"/>
  <c r="C89" i="13"/>
  <c r="G89" i="13" s="1"/>
  <c r="X91" i="13" s="1"/>
  <c r="M119" i="4"/>
  <c r="X119" i="4" s="1"/>
  <c r="V112" i="4"/>
  <c r="K112" i="4" s="1"/>
  <c r="L112" i="4" s="1"/>
  <c r="AW2" i="5" s="1"/>
  <c r="F148" i="13"/>
  <c r="W184" i="13" s="1"/>
  <c r="L60" i="4"/>
  <c r="N2" i="5" s="1"/>
  <c r="M60" i="4"/>
  <c r="M51" i="4"/>
  <c r="N51" i="4" s="1"/>
  <c r="M52" i="4"/>
  <c r="E55" i="4"/>
  <c r="M55" i="4" s="1"/>
  <c r="H56" i="4"/>
  <c r="K56" i="4" s="1"/>
  <c r="E56" i="4"/>
  <c r="K54" i="4"/>
  <c r="L37" i="4"/>
  <c r="M37" i="4"/>
  <c r="X50" i="4"/>
  <c r="N50" i="4"/>
  <c r="O50" i="4"/>
  <c r="N49" i="4"/>
  <c r="X49" i="4"/>
  <c r="O49" i="4"/>
  <c r="X48" i="4"/>
  <c r="N48" i="4"/>
  <c r="O48" i="4"/>
  <c r="D9" i="3"/>
  <c r="I8" i="13" s="1"/>
  <c r="O53" i="4" l="1"/>
  <c r="N53" i="4"/>
  <c r="C95" i="13"/>
  <c r="G95" i="13" s="1"/>
  <c r="X93" i="13" s="1"/>
  <c r="C90" i="13"/>
  <c r="G90" i="13" s="1"/>
  <c r="L92" i="13" s="1"/>
  <c r="C92" i="13"/>
  <c r="G92" i="13" s="1"/>
  <c r="X92" i="13" s="1"/>
  <c r="C91" i="13"/>
  <c r="G91" i="13" s="1"/>
  <c r="T92" i="13" s="1"/>
  <c r="N119" i="4"/>
  <c r="O119" i="4"/>
  <c r="M112" i="4"/>
  <c r="X112" i="4" s="1"/>
  <c r="C166" i="13"/>
  <c r="I57" i="4"/>
  <c r="M57" i="4" s="1"/>
  <c r="O57" i="4" s="1"/>
  <c r="X60" i="4"/>
  <c r="O60" i="4"/>
  <c r="N60" i="4"/>
  <c r="X51" i="4"/>
  <c r="O51" i="4"/>
  <c r="N52" i="4"/>
  <c r="X52" i="4"/>
  <c r="O52" i="4"/>
  <c r="L54" i="4"/>
  <c r="M54" i="4"/>
  <c r="L56" i="4"/>
  <c r="M56" i="4"/>
  <c r="X55" i="4"/>
  <c r="O55" i="4"/>
  <c r="N55" i="4"/>
  <c r="X37" i="4"/>
  <c r="O37" i="4"/>
  <c r="N37" i="4"/>
  <c r="G166" i="13" l="1"/>
  <c r="X223" i="13" s="1"/>
  <c r="C148" i="13"/>
  <c r="G148" i="13" s="1"/>
  <c r="X185" i="13" s="1"/>
  <c r="C97" i="13"/>
  <c r="G97" i="13" s="1"/>
  <c r="T94" i="13" s="1"/>
  <c r="C112" i="13"/>
  <c r="G112" i="13" s="1"/>
  <c r="X122" i="13" s="1"/>
  <c r="C93" i="13"/>
  <c r="G93" i="13" s="1"/>
  <c r="L93" i="13" s="1"/>
  <c r="C94" i="13"/>
  <c r="G94" i="13" s="1"/>
  <c r="T93" i="13" s="1"/>
  <c r="C68" i="13"/>
  <c r="G68" i="13" s="1"/>
  <c r="X62" i="13" s="1"/>
  <c r="O112" i="4"/>
  <c r="N112" i="4"/>
  <c r="L57" i="4"/>
  <c r="L2" i="5" s="1"/>
  <c r="X57" i="4"/>
  <c r="N57" i="4"/>
  <c r="O56" i="4"/>
  <c r="X56" i="4"/>
  <c r="N56" i="4"/>
  <c r="O54" i="4"/>
  <c r="N54" i="4"/>
  <c r="X54" i="4"/>
  <c r="G56" i="13"/>
  <c r="E80" i="13"/>
  <c r="C98" i="13" l="1"/>
  <c r="G98" i="13" s="1"/>
  <c r="C96" i="13"/>
  <c r="G96" i="13" s="1"/>
  <c r="L94" i="13" s="1"/>
  <c r="X94" i="13" l="1"/>
  <c r="I22" i="13"/>
  <c r="I23" i="13"/>
  <c r="I21" i="13"/>
  <c r="I20" i="13"/>
  <c r="B46" i="13"/>
  <c r="B69" i="13"/>
  <c r="B99" i="13"/>
  <c r="B194" i="13"/>
  <c r="B207" i="13"/>
  <c r="I256" i="13"/>
  <c r="B195" i="13"/>
  <c r="G58" i="4"/>
  <c r="Q22" i="13" l="1"/>
  <c r="Q20" i="13"/>
  <c r="I58" i="4"/>
  <c r="S58" i="4"/>
  <c r="V58" i="4" s="1"/>
  <c r="K58" i="4" s="1"/>
  <c r="Q21" i="13"/>
  <c r="Q23" i="13"/>
  <c r="L58" i="4" l="1"/>
  <c r="BD2" i="5" s="1"/>
  <c r="M58" i="4"/>
  <c r="N58" i="4" s="1"/>
  <c r="I80" i="13"/>
  <c r="B57" i="13"/>
  <c r="B59" i="13"/>
  <c r="B39" i="13"/>
  <c r="B38" i="13"/>
  <c r="B45" i="13"/>
  <c r="B35" i="13"/>
  <c r="N20" i="13" s="1"/>
  <c r="X27" i="13"/>
  <c r="O58" i="4" l="1"/>
  <c r="X58" i="4"/>
  <c r="V23" i="13"/>
  <c r="B216" i="13"/>
  <c r="B203" i="13"/>
  <c r="B163" i="13"/>
  <c r="B108" i="13"/>
  <c r="N23" i="13" s="1"/>
  <c r="B78" i="13"/>
  <c r="N22" i="13" s="1"/>
  <c r="B55" i="13"/>
  <c r="N21" i="13" s="1"/>
  <c r="D5" i="3" l="1"/>
  <c r="G8" i="4" l="1"/>
  <c r="B7" i="13"/>
  <c r="F80" i="13"/>
  <c r="I46" i="13"/>
  <c r="I96" i="13"/>
  <c r="I215" i="13"/>
  <c r="I34" i="13"/>
  <c r="I25" i="13"/>
  <c r="B65" i="13"/>
  <c r="F110" i="13"/>
  <c r="W101" i="13" s="1"/>
  <c r="E110" i="13"/>
  <c r="B64" i="13"/>
  <c r="B63" i="13"/>
  <c r="B62" i="13"/>
  <c r="B61" i="13"/>
  <c r="B60" i="13"/>
  <c r="B58" i="13"/>
  <c r="F64" i="13"/>
  <c r="E64" i="13"/>
  <c r="F63" i="13"/>
  <c r="E63" i="13"/>
  <c r="F62" i="13"/>
  <c r="E62" i="13"/>
  <c r="F61" i="13"/>
  <c r="E61" i="13"/>
  <c r="F60" i="13"/>
  <c r="E60" i="13"/>
  <c r="F65" i="13"/>
  <c r="E65" i="13"/>
  <c r="F59" i="13"/>
  <c r="E59" i="13"/>
  <c r="F58" i="13"/>
  <c r="E58" i="13"/>
  <c r="F57" i="13"/>
  <c r="E57" i="13"/>
  <c r="B44" i="13"/>
  <c r="B43" i="13"/>
  <c r="B42" i="13"/>
  <c r="B41" i="13"/>
  <c r="B40" i="13"/>
  <c r="E38" i="13"/>
  <c r="F38" i="13"/>
  <c r="E39" i="13"/>
  <c r="F39" i="13"/>
  <c r="E45" i="13"/>
  <c r="F45" i="13"/>
  <c r="E40" i="13"/>
  <c r="F40" i="13"/>
  <c r="E41" i="13"/>
  <c r="F41" i="13"/>
  <c r="E42" i="13"/>
  <c r="F42" i="13"/>
  <c r="E43" i="13"/>
  <c r="F43" i="13"/>
  <c r="P8" i="4"/>
  <c r="V7" i="4"/>
  <c r="K7" i="4" s="1"/>
  <c r="P7" i="4"/>
  <c r="P38" i="4" l="1"/>
  <c r="P3" i="4" l="1"/>
  <c r="P4" i="4"/>
  <c r="P5" i="4"/>
  <c r="P6" i="4"/>
  <c r="F44" i="13"/>
  <c r="F37" i="13"/>
  <c r="F20" i="13"/>
  <c r="F21" i="13"/>
  <c r="F22" i="13"/>
  <c r="F23" i="13"/>
  <c r="F24" i="13"/>
  <c r="F19" i="13"/>
  <c r="W27" i="13" s="1"/>
  <c r="E44" i="13"/>
  <c r="E37" i="13"/>
  <c r="E24" i="13"/>
  <c r="E23" i="13"/>
  <c r="E22" i="13"/>
  <c r="E21" i="13"/>
  <c r="E20" i="13"/>
  <c r="E19" i="13"/>
  <c r="P26" i="4"/>
  <c r="P27" i="4"/>
  <c r="P28" i="4"/>
  <c r="P35" i="4"/>
  <c r="P29" i="4"/>
  <c r="P30" i="4"/>
  <c r="P31" i="4"/>
  <c r="P32" i="4"/>
  <c r="P33" i="4"/>
  <c r="Q26" i="4"/>
  <c r="Q27" i="4"/>
  <c r="Q28" i="4"/>
  <c r="Q35" i="4"/>
  <c r="Q29" i="4"/>
  <c r="Q30" i="4"/>
  <c r="Q31" i="4"/>
  <c r="Q32" i="4"/>
  <c r="Q33" i="4"/>
  <c r="P24" i="4" l="1"/>
  <c r="Q24" i="4"/>
  <c r="P23" i="4"/>
  <c r="Q23" i="4"/>
  <c r="P22" i="4"/>
  <c r="Q22" i="4"/>
  <c r="P21" i="4"/>
  <c r="Q21" i="4"/>
  <c r="P20" i="4"/>
  <c r="Q20" i="4"/>
  <c r="P25" i="4"/>
  <c r="Q25" i="4"/>
  <c r="P19" i="4"/>
  <c r="Q19" i="4"/>
  <c r="P18" i="4"/>
  <c r="Q18" i="4"/>
  <c r="Q17" i="4" l="1"/>
  <c r="Q16" i="4"/>
  <c r="Q12" i="4"/>
  <c r="Q13" i="4"/>
  <c r="Q14" i="4"/>
  <c r="Q11" i="4"/>
  <c r="Q10" i="4"/>
  <c r="R16" i="13"/>
  <c r="N16" i="13"/>
  <c r="J16" i="13"/>
  <c r="I8" i="4" l="1"/>
  <c r="S8" i="4"/>
  <c r="V8" i="4" s="1"/>
  <c r="K8" i="4" s="1"/>
  <c r="L8" i="4" l="1"/>
  <c r="A2" i="5" s="1"/>
  <c r="D60" i="13" l="1"/>
  <c r="D61" i="13"/>
  <c r="D45" i="13"/>
  <c r="D65" i="13"/>
  <c r="D40" i="13"/>
  <c r="D57" i="13"/>
  <c r="D59" i="13"/>
  <c r="D42" i="13"/>
  <c r="D41" i="13"/>
  <c r="D62" i="13"/>
  <c r="D38" i="13"/>
  <c r="D58" i="13"/>
  <c r="D39" i="13"/>
  <c r="D20" i="13" l="1"/>
  <c r="D23" i="13"/>
  <c r="D19" i="13"/>
  <c r="D22" i="13"/>
  <c r="D21" i="13"/>
  <c r="D24" i="13"/>
  <c r="D37" i="13"/>
  <c r="D43" i="13"/>
  <c r="D63" i="13"/>
  <c r="V3" i="4" l="1"/>
  <c r="K3" i="4" s="1"/>
  <c r="V4" i="4"/>
  <c r="K4" i="4" s="1"/>
  <c r="V5" i="4"/>
  <c r="K5" i="4" s="1"/>
  <c r="V6" i="4"/>
  <c r="K6" i="4" s="1"/>
  <c r="D110" i="13" l="1"/>
  <c r="M8" i="4"/>
  <c r="X8" i="4" s="1"/>
  <c r="O8" i="4" l="1"/>
  <c r="N8" i="4"/>
  <c r="M4" i="4"/>
  <c r="X4" i="4" l="1"/>
  <c r="N4" i="4"/>
  <c r="O4" i="4"/>
  <c r="M6" i="4"/>
  <c r="X6" i="4" l="1"/>
  <c r="N6" i="4"/>
  <c r="O6" i="4"/>
  <c r="M5" i="4"/>
  <c r="N5" i="4" l="1"/>
  <c r="X5" i="4"/>
  <c r="O5" i="4"/>
  <c r="M3" i="4"/>
  <c r="N3" i="4" s="1"/>
  <c r="X3" i="4" l="1"/>
  <c r="O3" i="4"/>
  <c r="M7" i="4"/>
  <c r="O7" i="4" l="1"/>
  <c r="N7" i="4"/>
  <c r="X7" i="4"/>
  <c r="G14" i="4"/>
  <c r="G25" i="4"/>
  <c r="G21" i="4"/>
  <c r="G29" i="4"/>
  <c r="G33" i="4"/>
  <c r="G32" i="4"/>
  <c r="G12" i="4"/>
  <c r="G20" i="4"/>
  <c r="G19" i="4"/>
  <c r="G22" i="4"/>
  <c r="G28" i="4"/>
  <c r="G23" i="4"/>
  <c r="G38" i="4"/>
  <c r="G18" i="4"/>
  <c r="G13" i="4"/>
  <c r="G35" i="4"/>
  <c r="G31" i="4"/>
  <c r="G24" i="4"/>
  <c r="G26" i="4"/>
  <c r="G17" i="4"/>
  <c r="G16" i="4"/>
  <c r="G27" i="4"/>
  <c r="G10" i="4"/>
  <c r="G30" i="4"/>
  <c r="G11" i="4"/>
  <c r="H38" i="4" l="1"/>
  <c r="E20" i="14"/>
  <c r="E6" i="14"/>
  <c r="E5" i="14"/>
  <c r="B2" i="14"/>
  <c r="I21" i="4"/>
  <c r="S21" i="4"/>
  <c r="V21" i="4" s="1"/>
  <c r="K21" i="4" s="1"/>
  <c r="I30" i="4"/>
  <c r="S30" i="4"/>
  <c r="V30" i="4" s="1"/>
  <c r="K30" i="4" s="1"/>
  <c r="I14" i="4"/>
  <c r="H14" i="4"/>
  <c r="S14" i="4"/>
  <c r="V14" i="4" s="1"/>
  <c r="I31" i="4"/>
  <c r="S31" i="4"/>
  <c r="V31" i="4" s="1"/>
  <c r="K31" i="4" s="1"/>
  <c r="I16" i="4"/>
  <c r="S16" i="4"/>
  <c r="V16" i="4" s="1"/>
  <c r="H16" i="4"/>
  <c r="I28" i="4"/>
  <c r="S28" i="4"/>
  <c r="V28" i="4" s="1"/>
  <c r="K28" i="4" s="1"/>
  <c r="S12" i="4"/>
  <c r="V12" i="4" s="1"/>
  <c r="K12" i="4" s="1"/>
  <c r="I12" i="4"/>
  <c r="I25" i="4"/>
  <c r="S25" i="4"/>
  <c r="V25" i="4" s="1"/>
  <c r="K25" i="4" s="1"/>
  <c r="I35" i="4"/>
  <c r="S35" i="4"/>
  <c r="V35" i="4" s="1"/>
  <c r="K35" i="4" s="1"/>
  <c r="I18" i="4"/>
  <c r="S18" i="4"/>
  <c r="V18" i="4" s="1"/>
  <c r="K18" i="4" s="1"/>
  <c r="I38" i="4"/>
  <c r="S38" i="4"/>
  <c r="V38" i="4" s="1"/>
  <c r="I19" i="4"/>
  <c r="S19" i="4"/>
  <c r="V19" i="4" s="1"/>
  <c r="K19" i="4" s="1"/>
  <c r="I32" i="4"/>
  <c r="H32" i="4"/>
  <c r="S32" i="4"/>
  <c r="V32" i="4" s="1"/>
  <c r="I29" i="4"/>
  <c r="S29" i="4"/>
  <c r="V29" i="4" s="1"/>
  <c r="K29" i="4" s="1"/>
  <c r="I13" i="4"/>
  <c r="S13" i="4"/>
  <c r="V13" i="4" s="1"/>
  <c r="K13" i="4" s="1"/>
  <c r="I22" i="4"/>
  <c r="S22" i="4"/>
  <c r="V22" i="4" s="1"/>
  <c r="K22" i="4" s="1"/>
  <c r="H23" i="4"/>
  <c r="I23" i="4"/>
  <c r="S23" i="4"/>
  <c r="V23" i="4" s="1"/>
  <c r="I20" i="4"/>
  <c r="S20" i="4"/>
  <c r="V20" i="4" s="1"/>
  <c r="K20" i="4" s="1"/>
  <c r="H33" i="4"/>
  <c r="I33" i="4"/>
  <c r="S33" i="4"/>
  <c r="V33" i="4" s="1"/>
  <c r="I17" i="4"/>
  <c r="S17" i="4"/>
  <c r="V17" i="4" s="1"/>
  <c r="K17" i="4" s="1"/>
  <c r="I26" i="4"/>
  <c r="S26" i="4"/>
  <c r="V26" i="4" s="1"/>
  <c r="K26" i="4" s="1"/>
  <c r="S10" i="4"/>
  <c r="V10" i="4" s="1"/>
  <c r="K10" i="4" s="1"/>
  <c r="I10" i="4"/>
  <c r="I27" i="4"/>
  <c r="S27" i="4"/>
  <c r="V27" i="4" s="1"/>
  <c r="K27" i="4" s="1"/>
  <c r="I11" i="4"/>
  <c r="S11" i="4"/>
  <c r="V11" i="4" s="1"/>
  <c r="K11" i="4" s="1"/>
  <c r="I24" i="4"/>
  <c r="H24" i="4"/>
  <c r="S24" i="4"/>
  <c r="V24" i="4" s="1"/>
  <c r="F20" i="14" l="1"/>
  <c r="I20" i="14" s="1"/>
  <c r="I77" i="14" s="1"/>
  <c r="B16" i="14" s="1"/>
  <c r="E33" i="14"/>
  <c r="M12" i="4"/>
  <c r="X12" i="4" s="1"/>
  <c r="M30" i="4"/>
  <c r="X30" i="4" s="1"/>
  <c r="M20" i="4"/>
  <c r="X20" i="4" s="1"/>
  <c r="M13" i="4"/>
  <c r="N13" i="4" s="1"/>
  <c r="M35" i="4"/>
  <c r="N35" i="4" s="1"/>
  <c r="M31" i="4"/>
  <c r="O31" i="4" s="1"/>
  <c r="L30" i="4"/>
  <c r="M17" i="4"/>
  <c r="N17" i="4" s="1"/>
  <c r="M28" i="4"/>
  <c r="O28" i="4" s="1"/>
  <c r="M27" i="4"/>
  <c r="X27" i="4" s="1"/>
  <c r="M29" i="4"/>
  <c r="O29" i="4" s="1"/>
  <c r="M19" i="4"/>
  <c r="O19" i="4" s="1"/>
  <c r="M11" i="4"/>
  <c r="O11" i="4" s="1"/>
  <c r="M26" i="4"/>
  <c r="O26" i="4" s="1"/>
  <c r="M22" i="4"/>
  <c r="X22" i="4" s="1"/>
  <c r="M25" i="4"/>
  <c r="O25" i="4" s="1"/>
  <c r="M21" i="4"/>
  <c r="X21" i="4" s="1"/>
  <c r="M18" i="4"/>
  <c r="N18" i="4" s="1"/>
  <c r="K38" i="4"/>
  <c r="M10" i="4"/>
  <c r="N10" i="4" s="1"/>
  <c r="L13" i="4"/>
  <c r="F2" i="5" s="1"/>
  <c r="L28" i="4"/>
  <c r="L21" i="4"/>
  <c r="L22" i="4"/>
  <c r="L29" i="4"/>
  <c r="L19" i="4"/>
  <c r="K33" i="4"/>
  <c r="M33" i="4" s="1"/>
  <c r="O33" i="4" s="1"/>
  <c r="L10" i="4"/>
  <c r="K24" i="4"/>
  <c r="M24" i="4" s="1"/>
  <c r="Y24" i="4" s="1"/>
  <c r="L11" i="4"/>
  <c r="D2" i="5" s="1"/>
  <c r="L17" i="4"/>
  <c r="K32" i="4"/>
  <c r="M32" i="4" s="1"/>
  <c r="L18" i="4"/>
  <c r="L25" i="4"/>
  <c r="K14" i="4"/>
  <c r="M14" i="4" s="1"/>
  <c r="K23" i="4"/>
  <c r="M23" i="4" s="1"/>
  <c r="L27" i="4"/>
  <c r="L26" i="4"/>
  <c r="L20" i="4"/>
  <c r="L35" i="4"/>
  <c r="L12" i="4"/>
  <c r="E2" i="5" s="1"/>
  <c r="K16" i="4"/>
  <c r="M16" i="4" s="1"/>
  <c r="L31" i="4"/>
  <c r="E38" i="4"/>
  <c r="C2" i="5" l="1"/>
  <c r="G153" i="4"/>
  <c r="E72" i="14"/>
  <c r="F33" i="14"/>
  <c r="F72" i="14" s="1"/>
  <c r="B8" i="13"/>
  <c r="I3" i="13" s="1"/>
  <c r="C41" i="13"/>
  <c r="G41" i="13" s="1"/>
  <c r="R41" i="13" s="1"/>
  <c r="D44" i="13"/>
  <c r="I44" i="13" s="1"/>
  <c r="C42" i="13"/>
  <c r="G42" i="13" s="1"/>
  <c r="T41" i="13" s="1"/>
  <c r="C40" i="13"/>
  <c r="G40" i="13" s="1"/>
  <c r="N41" i="13" s="1"/>
  <c r="X25" i="4"/>
  <c r="M38" i="4"/>
  <c r="Y38" i="4" s="1"/>
  <c r="O20" i="4"/>
  <c r="X17" i="4"/>
  <c r="O35" i="4"/>
  <c r="X35" i="4"/>
  <c r="N20" i="4"/>
  <c r="O17" i="4"/>
  <c r="O30" i="4"/>
  <c r="X26" i="4"/>
  <c r="N30" i="4"/>
  <c r="Y33" i="4"/>
  <c r="N27" i="4"/>
  <c r="X31" i="4"/>
  <c r="N11" i="4"/>
  <c r="O21" i="4"/>
  <c r="N29" i="4"/>
  <c r="N21" i="4"/>
  <c r="L32" i="4"/>
  <c r="X13" i="4"/>
  <c r="X11" i="4"/>
  <c r="N12" i="4"/>
  <c r="X29" i="4"/>
  <c r="O12" i="4"/>
  <c r="O13" i="4"/>
  <c r="X33" i="4"/>
  <c r="N26" i="4"/>
  <c r="N33" i="4"/>
  <c r="L33" i="4"/>
  <c r="L24" i="4"/>
  <c r="X19" i="4"/>
  <c r="N19" i="4"/>
  <c r="N31" i="4"/>
  <c r="X24" i="4"/>
  <c r="O24" i="4"/>
  <c r="X18" i="4"/>
  <c r="L14" i="4"/>
  <c r="G2" i="5" s="1"/>
  <c r="N24" i="4"/>
  <c r="O18" i="4"/>
  <c r="O22" i="4"/>
  <c r="N22" i="4"/>
  <c r="O27" i="4"/>
  <c r="N25" i="4"/>
  <c r="L38" i="4"/>
  <c r="J2" i="5" s="1"/>
  <c r="N28" i="4"/>
  <c r="X28" i="4"/>
  <c r="L23" i="4"/>
  <c r="O10" i="4"/>
  <c r="X10" i="4"/>
  <c r="O14" i="4"/>
  <c r="N14" i="4"/>
  <c r="X14" i="4"/>
  <c r="O32" i="4"/>
  <c r="N32" i="4"/>
  <c r="X32" i="4"/>
  <c r="C61" i="13"/>
  <c r="G61" i="13" s="1"/>
  <c r="R53" i="13" s="1"/>
  <c r="C58" i="13"/>
  <c r="G58" i="13" s="1"/>
  <c r="P51" i="13" s="1"/>
  <c r="O23" i="4"/>
  <c r="N23" i="4"/>
  <c r="X23" i="4"/>
  <c r="N16" i="4"/>
  <c r="O16" i="4"/>
  <c r="X16" i="4"/>
  <c r="C21" i="13"/>
  <c r="G21" i="13" s="1"/>
  <c r="R30" i="13" s="1"/>
  <c r="L16" i="4"/>
  <c r="I2" i="5" s="1"/>
  <c r="G15" i="4"/>
  <c r="I79" i="14" l="1"/>
  <c r="S153" i="4"/>
  <c r="I153" i="4"/>
  <c r="I72" i="14"/>
  <c r="O38" i="4"/>
  <c r="S15" i="4"/>
  <c r="V15" i="4" s="1"/>
  <c r="K15" i="4" s="1"/>
  <c r="I15" i="4"/>
  <c r="C43" i="13"/>
  <c r="G43" i="13" s="1"/>
  <c r="X41" i="13" s="1"/>
  <c r="C39" i="13"/>
  <c r="G39" i="13" s="1"/>
  <c r="X39" i="13" s="1"/>
  <c r="C44" i="13"/>
  <c r="G44" i="13" s="1"/>
  <c r="P43" i="13" s="1"/>
  <c r="C57" i="13"/>
  <c r="G57" i="13" s="1"/>
  <c r="X49" i="13" s="1"/>
  <c r="C65" i="13"/>
  <c r="G65" i="13" s="1"/>
  <c r="R55" i="13" s="1"/>
  <c r="C19" i="13"/>
  <c r="C59" i="13"/>
  <c r="G59" i="13" s="1"/>
  <c r="X51" i="13" s="1"/>
  <c r="C38" i="13"/>
  <c r="G38" i="13" s="1"/>
  <c r="P39" i="13" s="1"/>
  <c r="C22" i="13"/>
  <c r="G22" i="13" s="1"/>
  <c r="T30" i="13" s="1"/>
  <c r="C62" i="13"/>
  <c r="G62" i="13" s="1"/>
  <c r="T53" i="13" s="1"/>
  <c r="C37" i="13"/>
  <c r="C45" i="13"/>
  <c r="G45" i="13" s="1"/>
  <c r="X43" i="13" s="1"/>
  <c r="X38" i="4"/>
  <c r="N38" i="4"/>
  <c r="D64" i="13"/>
  <c r="I56" i="13" s="1"/>
  <c r="C64" i="13"/>
  <c r="G64" i="13" s="1"/>
  <c r="N55" i="13" s="1"/>
  <c r="C20" i="13"/>
  <c r="G20" i="13" s="1"/>
  <c r="N30" i="13" s="1"/>
  <c r="C60" i="13"/>
  <c r="G60" i="13" s="1"/>
  <c r="N53" i="13" s="1"/>
  <c r="C23" i="13"/>
  <c r="C63" i="13"/>
  <c r="B70" i="13"/>
  <c r="B71" i="13"/>
  <c r="B48" i="13"/>
  <c r="B49" i="13"/>
  <c r="B72" i="13"/>
  <c r="B47" i="13"/>
  <c r="G152" i="4" l="1"/>
  <c r="B73" i="14"/>
  <c r="L153" i="4"/>
  <c r="BE2" i="5" s="1"/>
  <c r="M153" i="4"/>
  <c r="G19" i="13"/>
  <c r="X28" i="13" s="1"/>
  <c r="L15" i="4"/>
  <c r="H2" i="5" s="1"/>
  <c r="M15" i="4"/>
  <c r="B50" i="13"/>
  <c r="C80" i="13"/>
  <c r="G80" i="13" s="1"/>
  <c r="X83" i="13" s="1"/>
  <c r="G37" i="13"/>
  <c r="X37" i="13" s="1"/>
  <c r="D80" i="13"/>
  <c r="B73" i="13"/>
  <c r="B75" i="13" s="1"/>
  <c r="P22" i="13" s="1"/>
  <c r="G23" i="13"/>
  <c r="X30" i="13" s="1"/>
  <c r="G63" i="13"/>
  <c r="X53" i="13" s="1"/>
  <c r="B206" i="13" l="1"/>
  <c r="H152" i="4"/>
  <c r="I152" i="4"/>
  <c r="S152" i="4"/>
  <c r="V152" i="4" s="1"/>
  <c r="N153" i="4"/>
  <c r="O153" i="4"/>
  <c r="X153" i="4"/>
  <c r="S39" i="4"/>
  <c r="V39" i="4" s="1"/>
  <c r="K39" i="4" s="1"/>
  <c r="I39" i="4"/>
  <c r="B52" i="13"/>
  <c r="P21" i="13" s="1"/>
  <c r="N15" i="4"/>
  <c r="X15" i="4"/>
  <c r="O15" i="4"/>
  <c r="B51" i="13"/>
  <c r="O21" i="13" s="1"/>
  <c r="B74" i="13"/>
  <c r="O22" i="13" s="1"/>
  <c r="C24" i="13" l="1"/>
  <c r="G24" i="13" s="1"/>
  <c r="P32" i="13" s="1"/>
  <c r="K152" i="4"/>
  <c r="L152" i="4" s="1"/>
  <c r="M39" i="4"/>
  <c r="D81" i="13" s="1"/>
  <c r="L39" i="4"/>
  <c r="C25" i="13"/>
  <c r="G25" i="13" s="1"/>
  <c r="X32" i="13" s="1"/>
  <c r="X34" i="13"/>
  <c r="C110" i="13"/>
  <c r="G110" i="13" s="1"/>
  <c r="X46" i="13"/>
  <c r="B29" i="13"/>
  <c r="B27" i="13"/>
  <c r="B28" i="13"/>
  <c r="M152" i="4" l="1"/>
  <c r="Y152" i="4" s="1"/>
  <c r="X102" i="13"/>
  <c r="O39" i="4"/>
  <c r="X39" i="4"/>
  <c r="N39" i="4"/>
  <c r="B30" i="13"/>
  <c r="B32" i="13" s="1"/>
  <c r="P20" i="13" s="1"/>
  <c r="B157" i="13"/>
  <c r="B155" i="13"/>
  <c r="B156" i="13"/>
  <c r="D206" i="13" l="1"/>
  <c r="I264" i="13" s="1"/>
  <c r="O152" i="4"/>
  <c r="X152" i="4"/>
  <c r="C206" i="13" s="1"/>
  <c r="N152" i="4"/>
  <c r="C81" i="13"/>
  <c r="G81" i="13" s="1"/>
  <c r="X84" i="13" s="1"/>
  <c r="B31" i="13"/>
  <c r="O20" i="13" s="1"/>
  <c r="B158" i="13"/>
  <c r="B159" i="13" s="1"/>
  <c r="B102" i="13"/>
  <c r="B210" i="13"/>
  <c r="B208" i="13"/>
  <c r="B100" i="13"/>
  <c r="B101" i="13"/>
  <c r="B209" i="13"/>
  <c r="B211" i="13" l="1"/>
  <c r="B212" i="13" s="1"/>
  <c r="X256" i="13" s="1"/>
  <c r="G206" i="13"/>
  <c r="T263" i="13" s="1"/>
  <c r="X25" i="13"/>
  <c r="B160" i="13"/>
  <c r="X96" i="13"/>
  <c r="B103" i="13"/>
  <c r="B213" i="13" l="1"/>
  <c r="B104" i="13"/>
  <c r="X80" i="13" s="1"/>
  <c r="V21" i="13"/>
  <c r="V20" i="13"/>
  <c r="B105" i="13"/>
  <c r="P23" i="13" s="1"/>
  <c r="O23" i="13" l="1"/>
  <c r="X20" i="13"/>
  <c r="V22" i="13"/>
  <c r="W20" i="13" l="1"/>
  <c r="B197" i="13"/>
  <c r="B196" i="13"/>
  <c r="B198" i="13" l="1"/>
  <c r="B200" i="13" s="1"/>
  <c r="X23" i="13" s="1"/>
  <c r="B199" i="13" l="1"/>
  <c r="W23" i="13" s="1"/>
  <c r="X215" i="13" l="1"/>
  <c r="G5" i="4" l="1"/>
  <c r="G4" i="4" l="1"/>
  <c r="B9" i="13"/>
  <c r="G3" i="4"/>
  <c r="S5" i="4"/>
  <c r="I5" i="4"/>
  <c r="L5" i="4" s="1"/>
  <c r="G6" i="4" l="1"/>
  <c r="G7" i="4" s="1"/>
  <c r="W21" i="13"/>
  <c r="S4" i="4"/>
  <c r="I4" i="4"/>
  <c r="L4" i="4" s="1"/>
  <c r="B13" i="13"/>
  <c r="I3" i="4"/>
  <c r="L3" i="4" s="1"/>
  <c r="S3" i="4"/>
  <c r="B10" i="13" l="1"/>
  <c r="B11" i="13" s="1"/>
  <c r="H6" i="13" s="1"/>
  <c r="I6" i="4"/>
  <c r="L6" i="4" s="1"/>
  <c r="S6" i="4"/>
  <c r="W22" i="13"/>
  <c r="W3" i="13" l="1"/>
  <c r="X3" i="13" s="1"/>
  <c r="B12" i="13"/>
  <c r="I6" i="13" s="1"/>
  <c r="X22" i="13"/>
  <c r="X21" i="13"/>
  <c r="S7" i="4"/>
  <c r="I7" i="4"/>
  <c r="L7" i="4" s="1"/>
  <c r="B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700-000001000000}">
      <text>
        <r>
          <rPr>
            <b/>
            <sz val="9"/>
            <color indexed="81"/>
            <rFont val="Tahoma"/>
            <family val="2"/>
          </rPr>
          <t>Author:</t>
        </r>
        <r>
          <rPr>
            <sz val="9"/>
            <color indexed="81"/>
            <rFont val="Tahoma"/>
            <family val="2"/>
          </rPr>
          <t xml:space="preserve">
FHLBSF District States on Top</t>
        </r>
      </text>
    </comment>
    <comment ref="C1" authorId="0" shapeId="0" xr:uid="{00000000-0006-0000-0700-000002000000}">
      <text>
        <r>
          <rPr>
            <b/>
            <sz val="9"/>
            <color indexed="81"/>
            <rFont val="Tahoma"/>
            <family val="2"/>
          </rPr>
          <t>Author:</t>
        </r>
        <r>
          <rPr>
            <sz val="9"/>
            <color indexed="81"/>
            <rFont val="Tahoma"/>
            <family val="2"/>
          </rPr>
          <t xml:space="preserve">
FHLBSF District States on Top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V1" authorId="0" shapeId="0" xr:uid="{00000000-0006-0000-0800-000001000000}">
      <text>
        <r>
          <rPr>
            <b/>
            <sz val="9"/>
            <color indexed="81"/>
            <rFont val="Tahoma"/>
            <family val="2"/>
          </rPr>
          <t>Tip:</t>
        </r>
        <r>
          <rPr>
            <sz val="9"/>
            <color indexed="81"/>
            <rFont val="Tahoma"/>
            <family val="2"/>
          </rPr>
          <t xml:space="preserve"> Most fields are flagged as '1' so that all status codes are utilized in %age complete calc.  However, some are ignored (such as </t>
        </r>
        <r>
          <rPr>
            <sz val="9"/>
            <color indexed="81"/>
            <rFont val="Tahoma"/>
            <family val="2"/>
          </rPr>
          <t xml:space="preserve">
PROJ_ID and APP_COMPLETE_FLAG since they are behind-the-scenes calcualtions that don't impact the progress of the app and thus we don't want any status indicators to be utilized in the %age complete. Others, such as Unit Group Totals are marked as '2', which means if an error exists (units exceed total ahp units, which is a stopping error), that error code of zero (0) will flow through and thus never allow the user to hit 100% complete (until the errors are cleared up)</t>
        </r>
      </text>
    </comment>
  </commentList>
</comments>
</file>

<file path=xl/sharedStrings.xml><?xml version="1.0" encoding="utf-8"?>
<sst xmlns="http://schemas.openxmlformats.org/spreadsheetml/2006/main" count="8373" uniqueCount="2862">
  <si>
    <t>FIELD_ID</t>
  </si>
  <si>
    <t>FIELD_DESC</t>
  </si>
  <si>
    <t>FIELD_VALUE_RAW</t>
  </si>
  <si>
    <t>FIELD_VALUE_CLEAN</t>
  </si>
  <si>
    <t>FIELD_REQ_FLAG</t>
  </si>
  <si>
    <t>CONFIG_VAR</t>
  </si>
  <si>
    <t>CONFIG_DESC</t>
  </si>
  <si>
    <t>CONFIG_TYPE</t>
  </si>
  <si>
    <t>CONFIG_VALUE</t>
  </si>
  <si>
    <t>Text</t>
  </si>
  <si>
    <t>MAP:{$DB.EXPORT}</t>
  </si>
  <si>
    <t>a</t>
  </si>
  <si>
    <t>r</t>
  </si>
  <si>
    <t>Webdings</t>
  </si>
  <si>
    <t>FIELD_STATUS_CODE</t>
  </si>
  <si>
    <t>FIELD_STATUS_DISPLAY</t>
  </si>
  <si>
    <t>FIELD_STATUS_ICON</t>
  </si>
  <si>
    <t>Not Required, Empty</t>
  </si>
  <si>
    <t>Invalid</t>
  </si>
  <si>
    <t>Required, Empty</t>
  </si>
  <si>
    <t>Valid</t>
  </si>
  <si>
    <t>FIELD_STATUS_DESCRIPTION</t>
  </si>
  <si>
    <t>i</t>
  </si>
  <si>
    <t>FIELD_STATUS_ICON_FONT</t>
  </si>
  <si>
    <t>FIELD_STATUS_COMMENT</t>
  </si>
  <si>
    <t>Required</t>
  </si>
  <si>
    <t>Invalid Value</t>
  </si>
  <si>
    <t>OK</t>
  </si>
  <si>
    <t>Optional</t>
  </si>
  <si>
    <t>FIELD_EMPTY_FLAG</t>
  </si>
  <si>
    <t>FIELD_VALID_FLAG</t>
  </si>
  <si>
    <t>AHP Round</t>
  </si>
  <si>
    <t>Date</t>
  </si>
  <si>
    <t>PAGE_BANNER_TITLE</t>
  </si>
  <si>
    <t>LOOKUP_CODE</t>
  </si>
  <si>
    <t>LOOKUP_VALUE</t>
  </si>
  <si>
    <t>SHEET_REF_CALC</t>
  </si>
  <si>
    <t>PAGE_BANNER_PROJNAME</t>
  </si>
  <si>
    <t>PROJ_NAME</t>
  </si>
  <si>
    <t>Project Name</t>
  </si>
  <si>
    <t>Number</t>
  </si>
  <si>
    <t>FIELD_TYPE</t>
  </si>
  <si>
    <t>$DB.CONFIG.TBL_CONFIG_FIELDSTATUSCODES::[F|J]</t>
  </si>
  <si>
    <t>TRIM_TEXT_FLAG</t>
  </si>
  <si>
    <t>RANGE_VALUE_LEN</t>
  </si>
  <si>
    <t>RANGE_VALIDATION_ON_FLAG</t>
  </si>
  <si>
    <t>RANGE_VALIDATION_MIN</t>
  </si>
  <si>
    <t>RANGE_VALIDATION_MAX</t>
  </si>
  <si>
    <t>RANGE_VALIDATION_PASSED_FLAG</t>
  </si>
  <si>
    <t>FIELD_VALID_CUSTOM_LOGIC</t>
  </si>
  <si>
    <t>Custom Logic - Field Specific</t>
  </si>
  <si>
    <t>Custom Logic + Validation</t>
  </si>
  <si>
    <t>Project Address - Street</t>
  </si>
  <si>
    <t>City</t>
  </si>
  <si>
    <t>State</t>
  </si>
  <si>
    <t>-</t>
  </si>
  <si>
    <t>Project Address - City</t>
  </si>
  <si>
    <t>Project Address - State</t>
  </si>
  <si>
    <t>Project Address - ZIP</t>
  </si>
  <si>
    <t xml:space="preserve"> </t>
  </si>
  <si>
    <t>NY</t>
  </si>
  <si>
    <t>CT</t>
  </si>
  <si>
    <t>WY</t>
  </si>
  <si>
    <t>WI</t>
  </si>
  <si>
    <t>WV</t>
  </si>
  <si>
    <t>WA</t>
  </si>
  <si>
    <t>VA</t>
  </si>
  <si>
    <t>VT</t>
  </si>
  <si>
    <t>UT</t>
  </si>
  <si>
    <t>TX</t>
  </si>
  <si>
    <t>TN</t>
  </si>
  <si>
    <t>SD</t>
  </si>
  <si>
    <t>SC</t>
  </si>
  <si>
    <t>RI</t>
  </si>
  <si>
    <t>PR</t>
  </si>
  <si>
    <t>PA</t>
  </si>
  <si>
    <t>OR</t>
  </si>
  <si>
    <t>OH</t>
  </si>
  <si>
    <t>ND</t>
  </si>
  <si>
    <t>NC</t>
  </si>
  <si>
    <t>NM</t>
  </si>
  <si>
    <t>NJ</t>
  </si>
  <si>
    <t>NH</t>
  </si>
  <si>
    <t>NV</t>
  </si>
  <si>
    <t>NE</t>
  </si>
  <si>
    <t>MT</t>
  </si>
  <si>
    <t>MO</t>
  </si>
  <si>
    <t>MS</t>
  </si>
  <si>
    <t>MN</t>
  </si>
  <si>
    <t>MI</t>
  </si>
  <si>
    <t>MA</t>
  </si>
  <si>
    <t>MD</t>
  </si>
  <si>
    <t>ME</t>
  </si>
  <si>
    <t>LA</t>
  </si>
  <si>
    <t>KY</t>
  </si>
  <si>
    <t>KS</t>
  </si>
  <si>
    <t>IA</t>
  </si>
  <si>
    <t>IN</t>
  </si>
  <si>
    <t>IL</t>
  </si>
  <si>
    <t>ID</t>
  </si>
  <si>
    <t>HI</t>
  </si>
  <si>
    <t>GA</t>
  </si>
  <si>
    <t>FL</t>
  </si>
  <si>
    <t>DE</t>
  </si>
  <si>
    <t>CO</t>
  </si>
  <si>
    <t>CA</t>
  </si>
  <si>
    <t>AR</t>
  </si>
  <si>
    <t>AZ</t>
  </si>
  <si>
    <t>AK</t>
  </si>
  <si>
    <t>AL</t>
  </si>
  <si>
    <t>STATE_CODE</t>
  </si>
  <si>
    <t>County</t>
  </si>
  <si>
    <t>RANGE_VALIDATION_FLAG</t>
  </si>
  <si>
    <t>Project Address - County</t>
  </si>
  <si>
    <t>APP_PROGRESS_DONE_COUNT</t>
  </si>
  <si>
    <t>APP_PROGRESS_TOTAL_COUNT</t>
  </si>
  <si>
    <t>APP_PROGRESS_ERROR_COUNT</t>
  </si>
  <si>
    <t>SECTION_1_DONE_COUNT</t>
  </si>
  <si>
    <t>SECTION_1_TOTAL_COUNT</t>
  </si>
  <si>
    <t>SECTION_1_ERROR_COUNT</t>
  </si>
  <si>
    <t>SECTION_1_PROGRESS_PERCENT</t>
  </si>
  <si>
    <t>SECTION_1_STATUS_TEXT</t>
  </si>
  <si>
    <t>SECTION_1_STATUS_CODE</t>
  </si>
  <si>
    <t>SECTION_1_RANGE</t>
  </si>
  <si>
    <t>SECTION_1</t>
  </si>
  <si>
    <t>SECTION_1_TOC_LABEL</t>
  </si>
  <si>
    <t>SECTION_2</t>
  </si>
  <si>
    <t>SECTION_2_RANGE</t>
  </si>
  <si>
    <t>SECTION_2_DONE_COUNT</t>
  </si>
  <si>
    <t>SECTION_2_TOTAL_COUNT</t>
  </si>
  <si>
    <t>SECTION_2_ERROR_COUNT</t>
  </si>
  <si>
    <t>SECTION_2_PROGRESS_PERCENT</t>
  </si>
  <si>
    <t>SECTION_2_STATUS_TEXT</t>
  </si>
  <si>
    <t>SECTION_2_STATUS_CODE</t>
  </si>
  <si>
    <t>SECTION_2_TOC_LABEL</t>
  </si>
  <si>
    <t>Member Name</t>
  </si>
  <si>
    <t>May Be Calculated Value</t>
  </si>
  <si>
    <t>$DB.CONFIG.TBL_CONFIG_APP::[A|D]</t>
  </si>
  <si>
    <t>PROJ_ADDRESS</t>
  </si>
  <si>
    <t>PROJ_CITY</t>
  </si>
  <si>
    <t>PROJ_STATE</t>
  </si>
  <si>
    <t>PROJ_ZIP_CODE</t>
  </si>
  <si>
    <t>PROJ_COUNTY</t>
  </si>
  <si>
    <t>APP_COMPLETE_FLAG</t>
  </si>
  <si>
    <t>Sponsor Contact - Full Name</t>
  </si>
  <si>
    <t>Sponsor Contact - Title</t>
  </si>
  <si>
    <t>Sponsor Contact - Telephone Number</t>
  </si>
  <si>
    <t>Sponsor Contact - Street Address</t>
  </si>
  <si>
    <t>Sponsor Contact - City</t>
  </si>
  <si>
    <t>Sponsor Contact - State</t>
  </si>
  <si>
    <t>Sponsor Contact - Zip Code</t>
  </si>
  <si>
    <t>Sponsor Contact - Email Address</t>
  </si>
  <si>
    <t>SPONS_NAME</t>
  </si>
  <si>
    <t>SPONS_CONTACT_PHONE_NO</t>
  </si>
  <si>
    <t>SPONS_CONTACT_FULLNAME</t>
  </si>
  <si>
    <t>SPONS_CONTACT_TITLE</t>
  </si>
  <si>
    <t>SPONS_CONTACT_ADDRESS</t>
  </si>
  <si>
    <t>SPONS_CONTACT_CITY</t>
  </si>
  <si>
    <t>SPONS_CONTACT_STATE</t>
  </si>
  <si>
    <t>SPONS_CONTACT_ZIP_CODE</t>
  </si>
  <si>
    <t>SPONS_CONTACT_EMAIL_ADDR</t>
  </si>
  <si>
    <t>Sponsor Name</t>
  </si>
  <si>
    <t>FIELD_EXPORT_FLAG</t>
  </si>
  <si>
    <t>EFORM_REVISION_DATE</t>
  </si>
  <si>
    <t>Last eForm Revision Date</t>
  </si>
  <si>
    <t>Application Progress - Error Count</t>
  </si>
  <si>
    <t>Application Progress - % Complete</t>
  </si>
  <si>
    <t>APP_PROGRESS_PCT_COMPLETE</t>
  </si>
  <si>
    <t>Y/N</t>
  </si>
  <si>
    <t>SUBSIDY_MAX_TOTAL</t>
  </si>
  <si>
    <t>Maximum Subsidy Total</t>
  </si>
  <si>
    <t>N/A</t>
  </si>
  <si>
    <t>DEVELOPER_COMMENTS</t>
  </si>
  <si>
    <t>VI</t>
  </si>
  <si>
    <t>Title</t>
  </si>
  <si>
    <t>Address</t>
  </si>
  <si>
    <t>SECTION_3</t>
  </si>
  <si>
    <t>SECTION_3_RANGE</t>
  </si>
  <si>
    <t>SECTION_3_DONE_COUNT</t>
  </si>
  <si>
    <t>SECTION_3_TOTAL_COUNT</t>
  </si>
  <si>
    <t>SECTION_3_ERROR_COUNT</t>
  </si>
  <si>
    <t>SECTION_3_PROGRESS_PERCENT</t>
  </si>
  <si>
    <t>SECTION_3_STATUS_TEXT</t>
  </si>
  <si>
    <t>SECTION_3_STATUS_CODE</t>
  </si>
  <si>
    <t>SECTION_3_TOC_LABEL</t>
  </si>
  <si>
    <t>PCT_CALC_FIELD_STATUS_CODE</t>
  </si>
  <si>
    <t>PCT_CALC_SHOW_STATUS_CODE</t>
  </si>
  <si>
    <t>SECTION_4</t>
  </si>
  <si>
    <t>SECTION_4_RANGE</t>
  </si>
  <si>
    <t>SECTION_4_DONE_COUNT</t>
  </si>
  <si>
    <t>SECTION_4_TOTAL_COUNT</t>
  </si>
  <si>
    <t>SECTION_4_ERROR_COUNT</t>
  </si>
  <si>
    <t>SECTION_4_PROGRESS_PERCENT</t>
  </si>
  <si>
    <t>SECTION_4_STATUS_TEXT</t>
  </si>
  <si>
    <t>SECTION_4_STATUS_CODE</t>
  </si>
  <si>
    <t>SECTION_4_TOC_LABEL</t>
  </si>
  <si>
    <t>{0=No Status; 1=All Status;2=Error Only;}</t>
  </si>
  <si>
    <t>Application Progress - # Total Fields (OK, Req. + Error)</t>
  </si>
  <si>
    <t>Application Progress - # Fields Completed (OK Only)</t>
  </si>
  <si>
    <t>SECTION_5</t>
  </si>
  <si>
    <t>Not Used in UI; PCT_CALC version used instead</t>
  </si>
  <si>
    <t>SECTION_5_RANGE</t>
  </si>
  <si>
    <t>SECTION_5_DONE_COUNT</t>
  </si>
  <si>
    <t>SECTION_5_TOTAL_COUNT</t>
  </si>
  <si>
    <t>SECTION_5_ERROR_COUNT</t>
  </si>
  <si>
    <t>SECTION_5_PROGRESS_PERCENT</t>
  </si>
  <si>
    <t>SECTION_5_STATUS_TEXT</t>
  </si>
  <si>
    <t>SECTION_5_STATUS_CODE</t>
  </si>
  <si>
    <t>SECTION_5_TOC_LABEL</t>
  </si>
  <si>
    <t>ERROR_MESSAGE</t>
  </si>
  <si>
    <t>VMIN</t>
  </si>
  <si>
    <t>VMAX</t>
  </si>
  <si>
    <t>STATUS CODE</t>
  </si>
  <si>
    <t>ERR MESSAGE</t>
  </si>
  <si>
    <t>CELL STATUS CODE</t>
  </si>
  <si>
    <t>FIELD VALUE</t>
  </si>
  <si>
    <t>FIELD ID</t>
  </si>
  <si>
    <t>SECTION_6_RANGE</t>
  </si>
  <si>
    <t>SECTION_6_DONE_COUNT</t>
  </si>
  <si>
    <t>SECTION_6_TOTAL_COUNT</t>
  </si>
  <si>
    <t>SECTION_6_ERROR_COUNT</t>
  </si>
  <si>
    <t>SECTION_6_PROGRESS_PERCENT</t>
  </si>
  <si>
    <t>SECTION_6_STATUS_TEXT</t>
  </si>
  <si>
    <t>SECTION_6_STATUS_CODE</t>
  </si>
  <si>
    <t>SECTION_6_TOC_LABEL</t>
  </si>
  <si>
    <t>SECTION_6</t>
  </si>
  <si>
    <t>Project Type</t>
  </si>
  <si>
    <t>Yes</t>
  </si>
  <si>
    <t>SECTION_7</t>
  </si>
  <si>
    <t>SECTION_7_RANGE</t>
  </si>
  <si>
    <t>SECTION_7_DONE_COUNT</t>
  </si>
  <si>
    <t>SECTION_7_TOTAL_COUNT</t>
  </si>
  <si>
    <t>SECTION_7_ERROR_COUNT</t>
  </si>
  <si>
    <t>SECTION_7_PROGRESS_PERCENT</t>
  </si>
  <si>
    <t>SECTION_7_STATUS_TEXT</t>
  </si>
  <si>
    <t>SECTION_7_STATUS_CODE</t>
  </si>
  <si>
    <t>SECTION_7_TOC_LABEL</t>
  </si>
  <si>
    <t>No</t>
  </si>
  <si>
    <t>$DB.LOOKUP.RANGE_LOOKUP_YESNO</t>
  </si>
  <si>
    <t>$DB.LOOKUP.RANGE_LOOKUP_YESNONA</t>
  </si>
  <si>
    <t>$DB.LOOKUP.RANGE_LOOKUP_SPONSTYPE</t>
  </si>
  <si>
    <t>Table of Contents</t>
  </si>
  <si>
    <t>EFORM_VERSION_NO</t>
  </si>
  <si>
    <t>eForm Version # (for reference)</t>
  </si>
  <si>
    <t>VERSION_DISPLAY</t>
  </si>
  <si>
    <t>$DB.LOOKUP.RANGE_LOOKUP_COUNTY</t>
  </si>
  <si>
    <t>COUNTY_CODE</t>
  </si>
  <si>
    <t>Autauga</t>
  </si>
  <si>
    <t>Baldwin</t>
  </si>
  <si>
    <t>Barbour</t>
  </si>
  <si>
    <t>Bibb</t>
  </si>
  <si>
    <t>Blount</t>
  </si>
  <si>
    <t>Bullock</t>
  </si>
  <si>
    <t>Butler</t>
  </si>
  <si>
    <t>Calhoun</t>
  </si>
  <si>
    <t>Chambers</t>
  </si>
  <si>
    <t>Cherokee</t>
  </si>
  <si>
    <t>Chilton</t>
  </si>
  <si>
    <t>Choctaw</t>
  </si>
  <si>
    <t>Clarke</t>
  </si>
  <si>
    <t>Clay</t>
  </si>
  <si>
    <t>Cleburne</t>
  </si>
  <si>
    <t>Coffee</t>
  </si>
  <si>
    <t>Colbert</t>
  </si>
  <si>
    <t>Conecuh</t>
  </si>
  <si>
    <t>Coosa</t>
  </si>
  <si>
    <t>Covington</t>
  </si>
  <si>
    <t>Crenshaw</t>
  </si>
  <si>
    <t>Cullman</t>
  </si>
  <si>
    <t>Dale</t>
  </si>
  <si>
    <t>Dallas</t>
  </si>
  <si>
    <t>DeKalb</t>
  </si>
  <si>
    <t>Elmore</t>
  </si>
  <si>
    <t>Escambia</t>
  </si>
  <si>
    <t>Etowah</t>
  </si>
  <si>
    <t>Fayette</t>
  </si>
  <si>
    <t>Franklin</t>
  </si>
  <si>
    <t>Geneva</t>
  </si>
  <si>
    <t>Greene</t>
  </si>
  <si>
    <t>Hale</t>
  </si>
  <si>
    <t>Henry</t>
  </si>
  <si>
    <t>Houston</t>
  </si>
  <si>
    <t>Jackson</t>
  </si>
  <si>
    <t>Jefferson</t>
  </si>
  <si>
    <t>Lamar</t>
  </si>
  <si>
    <t>Lauderdale</t>
  </si>
  <si>
    <t>Lawrence</t>
  </si>
  <si>
    <t>Lee</t>
  </si>
  <si>
    <t>Limestone</t>
  </si>
  <si>
    <t>Lowndes</t>
  </si>
  <si>
    <t>Macon</t>
  </si>
  <si>
    <t>Madison</t>
  </si>
  <si>
    <t>Marengo</t>
  </si>
  <si>
    <t>Marion</t>
  </si>
  <si>
    <t>Marshall</t>
  </si>
  <si>
    <t>Mobile</t>
  </si>
  <si>
    <t>Monroe</t>
  </si>
  <si>
    <t>Montgomery</t>
  </si>
  <si>
    <t>Morgan</t>
  </si>
  <si>
    <t>Perry</t>
  </si>
  <si>
    <t>Pickens</t>
  </si>
  <si>
    <t>Pike</t>
  </si>
  <si>
    <t>Randolph</t>
  </si>
  <si>
    <t>Russell</t>
  </si>
  <si>
    <t>St. Clair</t>
  </si>
  <si>
    <t>Shelby</t>
  </si>
  <si>
    <t>Sumter</t>
  </si>
  <si>
    <t>Talladega</t>
  </si>
  <si>
    <t>Tallapoosa</t>
  </si>
  <si>
    <t>Tuscaloosa</t>
  </si>
  <si>
    <t>Walker</t>
  </si>
  <si>
    <t>Washington</t>
  </si>
  <si>
    <t>Wilcox</t>
  </si>
  <si>
    <t>Winston</t>
  </si>
  <si>
    <t>Aleutians East Borough</t>
  </si>
  <si>
    <t>Aleutians West Census Area</t>
  </si>
  <si>
    <t>Anchorage Borough</t>
  </si>
  <si>
    <t>Bethel Census Area</t>
  </si>
  <si>
    <t>Bristol Bay Borough</t>
  </si>
  <si>
    <t>Dillingham Census Area</t>
  </si>
  <si>
    <t>Fairbanks North Star Borough</t>
  </si>
  <si>
    <t>Haines Borough</t>
  </si>
  <si>
    <t>Juneau Borough</t>
  </si>
  <si>
    <t>Kenai Peninsula Borough</t>
  </si>
  <si>
    <t>Ketchikan Gateway Borough</t>
  </si>
  <si>
    <t>Kodiak Island Borough</t>
  </si>
  <si>
    <t>Lake and Peninsula Borough</t>
  </si>
  <si>
    <t>Matanuska-Susitna Borough</t>
  </si>
  <si>
    <t>Nome Census Area</t>
  </si>
  <si>
    <t>North Slope Borough</t>
  </si>
  <si>
    <t>Northwest Arctic Borough</t>
  </si>
  <si>
    <t>Prince of Wales-Outer Ketchikan Census</t>
  </si>
  <si>
    <t>Sitka Borough</t>
  </si>
  <si>
    <t>Skagway-Yakutat-Angoon Census Area</t>
  </si>
  <si>
    <t>Southeast Fairbanks Census Area</t>
  </si>
  <si>
    <t>Valdez-Cordova Census Area</t>
  </si>
  <si>
    <t>Wade Hampton Census Area</t>
  </si>
  <si>
    <t>Wrangell-Petersburg Census Area</t>
  </si>
  <si>
    <t>Yukon-Koyukuk Census Area</t>
  </si>
  <si>
    <t>Apache</t>
  </si>
  <si>
    <t>Cochise</t>
  </si>
  <si>
    <t>Coconino</t>
  </si>
  <si>
    <t>Gila</t>
  </si>
  <si>
    <t>Graham</t>
  </si>
  <si>
    <t>Greenlee</t>
  </si>
  <si>
    <t>La Paz</t>
  </si>
  <si>
    <t>Maricopa</t>
  </si>
  <si>
    <t>Mohave</t>
  </si>
  <si>
    <t>Navajo</t>
  </si>
  <si>
    <t>Pima</t>
  </si>
  <si>
    <t>Pinal</t>
  </si>
  <si>
    <t>Santa Cruz</t>
  </si>
  <si>
    <t>Yavapai</t>
  </si>
  <si>
    <t>Yuma</t>
  </si>
  <si>
    <t>Arkansas</t>
  </si>
  <si>
    <t>Ashley</t>
  </si>
  <si>
    <t>Baxter</t>
  </si>
  <si>
    <t>Benton</t>
  </si>
  <si>
    <t>Boone</t>
  </si>
  <si>
    <t>Bradley</t>
  </si>
  <si>
    <t>Carroll</t>
  </si>
  <si>
    <t>Chicot</t>
  </si>
  <si>
    <t>Clark</t>
  </si>
  <si>
    <t>Cleveland</t>
  </si>
  <si>
    <t>Columbia</t>
  </si>
  <si>
    <t>Conway</t>
  </si>
  <si>
    <t>Craighead</t>
  </si>
  <si>
    <t>Crawford</t>
  </si>
  <si>
    <t>Crittenden</t>
  </si>
  <si>
    <t>Cross</t>
  </si>
  <si>
    <t>Desha</t>
  </si>
  <si>
    <t>Drew</t>
  </si>
  <si>
    <t>Faulkner</t>
  </si>
  <si>
    <t>Fulton</t>
  </si>
  <si>
    <t>Garland</t>
  </si>
  <si>
    <t>Grant</t>
  </si>
  <si>
    <t>Hempstead</t>
  </si>
  <si>
    <t>Hot Spring</t>
  </si>
  <si>
    <t>Howard</t>
  </si>
  <si>
    <t>Independence</t>
  </si>
  <si>
    <t>Izard</t>
  </si>
  <si>
    <t>Johnson</t>
  </si>
  <si>
    <t>Lafayette</t>
  </si>
  <si>
    <t>Lincoln</t>
  </si>
  <si>
    <t>Little River</t>
  </si>
  <si>
    <t>Logan</t>
  </si>
  <si>
    <t>Lonoke</t>
  </si>
  <si>
    <t>Miller</t>
  </si>
  <si>
    <t>Mississippi</t>
  </si>
  <si>
    <t>Nevada</t>
  </si>
  <si>
    <t>Newton</t>
  </si>
  <si>
    <t>Ouachita</t>
  </si>
  <si>
    <t>Phillips</t>
  </si>
  <si>
    <t>Poinsett</t>
  </si>
  <si>
    <t>Polk</t>
  </si>
  <si>
    <t>Pope</t>
  </si>
  <si>
    <t>Prairie</t>
  </si>
  <si>
    <t>Pulaski</t>
  </si>
  <si>
    <t>St. Francis</t>
  </si>
  <si>
    <t>Saline</t>
  </si>
  <si>
    <t>Scott</t>
  </si>
  <si>
    <t>Searcy</t>
  </si>
  <si>
    <t>Sebastian</t>
  </si>
  <si>
    <t>Sevier</t>
  </si>
  <si>
    <t>Sharp</t>
  </si>
  <si>
    <t>Stone</t>
  </si>
  <si>
    <t>Union</t>
  </si>
  <si>
    <t>Van Buren</t>
  </si>
  <si>
    <t>White</t>
  </si>
  <si>
    <t>Woodruff</t>
  </si>
  <si>
    <t>Yell</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</si>
  <si>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</si>
  <si>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</si>
  <si>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</si>
  <si>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</si>
  <si>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</si>
  <si>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</si>
  <si>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</si>
  <si>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</si>
  <si>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</si>
  <si>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</si>
  <si>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</si>
  <si>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</si>
  <si>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</si>
  <si>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</si>
  <si>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</si>
  <si>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</si>
  <si>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</si>
  <si>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</si>
  <si>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</si>
  <si>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</si>
  <si>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</si>
  <si>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</si>
  <si>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</si>
  <si>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</si>
  <si>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</si>
  <si>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</si>
  <si>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</si>
  <si>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</si>
  <si>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Orange</t>
  </si>
  <si>
    <t>Placer</t>
  </si>
  <si>
    <t>Plumas</t>
  </si>
  <si>
    <t>Riverside</t>
  </si>
  <si>
    <t>Sacramento</t>
  </si>
  <si>
    <t>San Benito</t>
  </si>
  <si>
    <t>San Bernardino</t>
  </si>
  <si>
    <t>San Diego</t>
  </si>
  <si>
    <t>San Francisco</t>
  </si>
  <si>
    <t>San Joaquin</t>
  </si>
  <si>
    <t>San Luis Obispo</t>
  </si>
  <si>
    <t>San Mateo</t>
  </si>
  <si>
    <t>Santa Barbara</t>
  </si>
  <si>
    <t>Santa Clara</t>
  </si>
  <si>
    <t>Shasta</t>
  </si>
  <si>
    <t>Sierra</t>
  </si>
  <si>
    <t>Siskiyou</t>
  </si>
  <si>
    <t>Solano</t>
  </si>
  <si>
    <t>Sonoma</t>
  </si>
  <si>
    <t>Stanislaus</t>
  </si>
  <si>
    <t>Sutter</t>
  </si>
  <si>
    <t>Tehama</t>
  </si>
  <si>
    <t>Trinity</t>
  </si>
  <si>
    <t>Tulare</t>
  </si>
  <si>
    <t>Tuolumne</t>
  </si>
  <si>
    <t>Ventura</t>
  </si>
  <si>
    <t>Yolo</t>
  </si>
  <si>
    <t>Yuba</t>
  </si>
  <si>
    <t>Adams</t>
  </si>
  <si>
    <t>Alamosa</t>
  </si>
  <si>
    <t>Arapahoe</t>
  </si>
  <si>
    <t>Archuleta</t>
  </si>
  <si>
    <t>Baca</t>
  </si>
  <si>
    <t>Bent</t>
  </si>
  <si>
    <t>Boulder</t>
  </si>
  <si>
    <t>Chaffee</t>
  </si>
  <si>
    <t>Cheyenne</t>
  </si>
  <si>
    <t>Clear Creek</t>
  </si>
  <si>
    <t>Conejos</t>
  </si>
  <si>
    <t>Costilla</t>
  </si>
  <si>
    <t>Crowley</t>
  </si>
  <si>
    <t>Custer</t>
  </si>
  <si>
    <t>Delta</t>
  </si>
  <si>
    <t>Denver</t>
  </si>
  <si>
    <t>Dolores</t>
  </si>
  <si>
    <t>Douglas</t>
  </si>
  <si>
    <t>Eagle</t>
  </si>
  <si>
    <t>Elbert</t>
  </si>
  <si>
    <t>El Paso</t>
  </si>
  <si>
    <t>Fremont</t>
  </si>
  <si>
    <t>Garfield</t>
  </si>
  <si>
    <t>Gilpin</t>
  </si>
  <si>
    <t>Grand</t>
  </si>
  <si>
    <t>Gunnison</t>
  </si>
  <si>
    <t>Hinsdale</t>
  </si>
  <si>
    <t>Huerfano</t>
  </si>
  <si>
    <t>Kiowa</t>
  </si>
  <si>
    <t>Kit Carson</t>
  </si>
  <si>
    <t>La Plata</t>
  </si>
  <si>
    <t>Larimer</t>
  </si>
  <si>
    <t>Las Animas</t>
  </si>
  <si>
    <t>Mesa</t>
  </si>
  <si>
    <t>Mineral</t>
  </si>
  <si>
    <t>Moffat</t>
  </si>
  <si>
    <t>Montezuma</t>
  </si>
  <si>
    <t>Montrose</t>
  </si>
  <si>
    <t>Otero</t>
  </si>
  <si>
    <t>Ouray</t>
  </si>
  <si>
    <t>Park</t>
  </si>
  <si>
    <t>Pitkin</t>
  </si>
  <si>
    <t>Prowers</t>
  </si>
  <si>
    <t>Pueblo</t>
  </si>
  <si>
    <t>Rio Blanco</t>
  </si>
  <si>
    <t>Rio Grande</t>
  </si>
  <si>
    <t>Routt</t>
  </si>
  <si>
    <t>Saguache</t>
  </si>
  <si>
    <t>San Juan</t>
  </si>
  <si>
    <t>San Miguel</t>
  </si>
  <si>
    <t>Sedgwick</t>
  </si>
  <si>
    <t>Summit</t>
  </si>
  <si>
    <t>Teller</t>
  </si>
  <si>
    <t>Weld</t>
  </si>
  <si>
    <t>Fairfield</t>
  </si>
  <si>
    <t>Hartford</t>
  </si>
  <si>
    <t>Litchfield</t>
  </si>
  <si>
    <t>Middlesex</t>
  </si>
  <si>
    <t>New Haven</t>
  </si>
  <si>
    <t>New London</t>
  </si>
  <si>
    <t>Tolland</t>
  </si>
  <si>
    <t>Windham</t>
  </si>
  <si>
    <t>Kent</t>
  </si>
  <si>
    <t>New Castle</t>
  </si>
  <si>
    <t>Sussex</t>
  </si>
  <si>
    <t>District of Columbia</t>
  </si>
  <si>
    <t>DC</t>
  </si>
  <si>
    <t>Alachua</t>
  </si>
  <si>
    <t>Baker</t>
  </si>
  <si>
    <t>Bay</t>
  </si>
  <si>
    <t>Bradford</t>
  </si>
  <si>
    <t>Brevard</t>
  </si>
  <si>
    <t>Broward</t>
  </si>
  <si>
    <t>Charlotte</t>
  </si>
  <si>
    <t>Citrus</t>
  </si>
  <si>
    <t>Collier</t>
  </si>
  <si>
    <t>Dade</t>
  </si>
  <si>
    <t>DeSoto</t>
  </si>
  <si>
    <t>Dixie</t>
  </si>
  <si>
    <t>Duval</t>
  </si>
  <si>
    <t>Flagler</t>
  </si>
  <si>
    <t>Gadsden</t>
  </si>
  <si>
    <t>Gilchrist</t>
  </si>
  <si>
    <t>Glades</t>
  </si>
  <si>
    <t>Gulf</t>
  </si>
  <si>
    <t>Hamilton</t>
  </si>
  <si>
    <t>Hardee</t>
  </si>
  <si>
    <t>Hendry</t>
  </si>
  <si>
    <t>Hernando</t>
  </si>
  <si>
    <t>Highlands</t>
  </si>
  <si>
    <t>Hillsborough</t>
  </si>
  <si>
    <t>Holmes</t>
  </si>
  <si>
    <t>Indian River</t>
  </si>
  <si>
    <t>Leon</t>
  </si>
  <si>
    <t>Levy</t>
  </si>
  <si>
    <t>Liberty</t>
  </si>
  <si>
    <t>Manatee</t>
  </si>
  <si>
    <t>Martin</t>
  </si>
  <si>
    <t>Nassau</t>
  </si>
  <si>
    <t>Okaloosa</t>
  </si>
  <si>
    <t>Okeechobee</t>
  </si>
  <si>
    <t>Osceola</t>
  </si>
  <si>
    <t>Palm Beach</t>
  </si>
  <si>
    <t>Pasco</t>
  </si>
  <si>
    <t>Pinellas</t>
  </si>
  <si>
    <t>Putnam</t>
  </si>
  <si>
    <t>St. Johns</t>
  </si>
  <si>
    <t>St. Lucie</t>
  </si>
  <si>
    <t>Santa Rosa</t>
  </si>
  <si>
    <t>Sarasota</t>
  </si>
  <si>
    <t>Seminole</t>
  </si>
  <si>
    <t>Suwannee</t>
  </si>
  <si>
    <t>Taylor</t>
  </si>
  <si>
    <t>Volusia</t>
  </si>
  <si>
    <t>Wakulla</t>
  </si>
  <si>
    <t>Walton</t>
  </si>
  <si>
    <t>Appling</t>
  </si>
  <si>
    <t>Atkinson</t>
  </si>
  <si>
    <t>Bacon</t>
  </si>
  <si>
    <t>Banks</t>
  </si>
  <si>
    <t>Barrow</t>
  </si>
  <si>
    <t>Bartow</t>
  </si>
  <si>
    <t>Ben Hill</t>
  </si>
  <si>
    <t>Berrien</t>
  </si>
  <si>
    <t>Bleckley</t>
  </si>
  <si>
    <t>Brantley</t>
  </si>
  <si>
    <t>Brooks</t>
  </si>
  <si>
    <t>Bryan</t>
  </si>
  <si>
    <t>Bulloch</t>
  </si>
  <si>
    <t>Burke</t>
  </si>
  <si>
    <t>Butts</t>
  </si>
  <si>
    <t>Camden</t>
  </si>
  <si>
    <t>Candler</t>
  </si>
  <si>
    <t>Catoosa</t>
  </si>
  <si>
    <t>Charlton</t>
  </si>
  <si>
    <t>Chatham</t>
  </si>
  <si>
    <t>Chattahoochee</t>
  </si>
  <si>
    <t>Chattooga</t>
  </si>
  <si>
    <t>Clayton</t>
  </si>
  <si>
    <t>Clinch</t>
  </si>
  <si>
    <t>Cobb</t>
  </si>
  <si>
    <t>Colquitt</t>
  </si>
  <si>
    <t>Cook</t>
  </si>
  <si>
    <t>Coweta</t>
  </si>
  <si>
    <t>Crisp</t>
  </si>
  <si>
    <t>Dawson</t>
  </si>
  <si>
    <t>Decatur</t>
  </si>
  <si>
    <t>De Kalb</t>
  </si>
  <si>
    <t>Dodge</t>
  </si>
  <si>
    <t>Dooly</t>
  </si>
  <si>
    <t>Dougherty</t>
  </si>
  <si>
    <t>Early</t>
  </si>
  <si>
    <t>Echols</t>
  </si>
  <si>
    <t>Effingham</t>
  </si>
  <si>
    <t>Emanuel</t>
  </si>
  <si>
    <t>Evans</t>
  </si>
  <si>
    <t>Fannin</t>
  </si>
  <si>
    <t>Floyd</t>
  </si>
  <si>
    <t>Forsyth</t>
  </si>
  <si>
    <t>Gilmer</t>
  </si>
  <si>
    <t>Glascock</t>
  </si>
  <si>
    <t>Glynn</t>
  </si>
  <si>
    <t>Gordon</t>
  </si>
  <si>
    <t>Grady</t>
  </si>
  <si>
    <t>Gwinnett</t>
  </si>
  <si>
    <t>Habersham</t>
  </si>
  <si>
    <t>Hall</t>
  </si>
  <si>
    <t>Hancock</t>
  </si>
  <si>
    <t>Haralson</t>
  </si>
  <si>
    <t>Harris</t>
  </si>
  <si>
    <t>Hart</t>
  </si>
  <si>
    <t>Heard</t>
  </si>
  <si>
    <t>Irwin</t>
  </si>
  <si>
    <t>Jasper</t>
  </si>
  <si>
    <t>Jeff Davis</t>
  </si>
  <si>
    <t>Jenkins</t>
  </si>
  <si>
    <t>Jones</t>
  </si>
  <si>
    <t>Lanier</t>
  </si>
  <si>
    <t>Laurens</t>
  </si>
  <si>
    <t>Long</t>
  </si>
  <si>
    <t>Lumpkin</t>
  </si>
  <si>
    <t>McDuffie</t>
  </si>
  <si>
    <t>McIntosh</t>
  </si>
  <si>
    <t>Meriwether</t>
  </si>
  <si>
    <t>Mitchell</t>
  </si>
  <si>
    <t>Murray</t>
  </si>
  <si>
    <t>Muscogee</t>
  </si>
  <si>
    <t>Oconee</t>
  </si>
  <si>
    <t>Oglethorpe</t>
  </si>
  <si>
    <t>Paulding</t>
  </si>
  <si>
    <t>Peach</t>
  </si>
  <si>
    <t>Pierce</t>
  </si>
  <si>
    <t>Quitman</t>
  </si>
  <si>
    <t>Rabun</t>
  </si>
  <si>
    <t>Richmond</t>
  </si>
  <si>
    <t>Rockdale</t>
  </si>
  <si>
    <t>Schley</t>
  </si>
  <si>
    <t>Screven</t>
  </si>
  <si>
    <t>Spalding</t>
  </si>
  <si>
    <t>Stephens</t>
  </si>
  <si>
    <t>Stewart</t>
  </si>
  <si>
    <t>Talbot</t>
  </si>
  <si>
    <t>Taliaferro</t>
  </si>
  <si>
    <t>Tattnall</t>
  </si>
  <si>
    <t>Telfair</t>
  </si>
  <si>
    <t>Terrell</t>
  </si>
  <si>
    <t>Thomas</t>
  </si>
  <si>
    <t>Tift</t>
  </si>
  <si>
    <t>Toombs</t>
  </si>
  <si>
    <t>Towns</t>
  </si>
  <si>
    <t>Treutlen</t>
  </si>
  <si>
    <t>Troup</t>
  </si>
  <si>
    <t>Turner</t>
  </si>
  <si>
    <t>Twiggs</t>
  </si>
  <si>
    <t>Upson</t>
  </si>
  <si>
    <t>Ware</t>
  </si>
  <si>
    <t>Warren</t>
  </si>
  <si>
    <t>Wayne</t>
  </si>
  <si>
    <t>Webster</t>
  </si>
  <si>
    <t>Wheeler</t>
  </si>
  <si>
    <t>Whitfield</t>
  </si>
  <si>
    <t>Wilkes</t>
  </si>
  <si>
    <t>Wilkinson</t>
  </si>
  <si>
    <t>Worth</t>
  </si>
  <si>
    <t>Hawaii</t>
  </si>
  <si>
    <t>Honolulu</t>
  </si>
  <si>
    <t>Kalawao</t>
  </si>
  <si>
    <t>Kauai</t>
  </si>
  <si>
    <t>Maui</t>
  </si>
  <si>
    <t>Ada</t>
  </si>
  <si>
    <t>Bannock</t>
  </si>
  <si>
    <t>Bear Lake</t>
  </si>
  <si>
    <t>Benewah</t>
  </si>
  <si>
    <t>Bingham</t>
  </si>
  <si>
    <t>Blaine</t>
  </si>
  <si>
    <t>Boise</t>
  </si>
  <si>
    <t>Bonner</t>
  </si>
  <si>
    <t>Bonneville</t>
  </si>
  <si>
    <t>Boundary</t>
  </si>
  <si>
    <t>Camas</t>
  </si>
  <si>
    <t>Canyon</t>
  </si>
  <si>
    <t>Caribou</t>
  </si>
  <si>
    <t>Cassia</t>
  </si>
  <si>
    <t>Clearwater</t>
  </si>
  <si>
    <t>Gem</t>
  </si>
  <si>
    <t>Gooding</t>
  </si>
  <si>
    <t>Idaho</t>
  </si>
  <si>
    <t>Jerome</t>
  </si>
  <si>
    <t>Kootenai</t>
  </si>
  <si>
    <t>Latah</t>
  </si>
  <si>
    <t>Lemhi</t>
  </si>
  <si>
    <t>Lewis</t>
  </si>
  <si>
    <t>Minidoka</t>
  </si>
  <si>
    <t>Nez Perce</t>
  </si>
  <si>
    <t>Oneida</t>
  </si>
  <si>
    <t>Owyhee</t>
  </si>
  <si>
    <t>Payette</t>
  </si>
  <si>
    <t>Power</t>
  </si>
  <si>
    <t>Shoshone</t>
  </si>
  <si>
    <t>Teton</t>
  </si>
  <si>
    <t>Twin Falls</t>
  </si>
  <si>
    <t>Valley</t>
  </si>
  <si>
    <t>Alexander</t>
  </si>
  <si>
    <t>Bond</t>
  </si>
  <si>
    <t>Brown</t>
  </si>
  <si>
    <t>Bureau</t>
  </si>
  <si>
    <t>Cass</t>
  </si>
  <si>
    <t>Champaign</t>
  </si>
  <si>
    <t>Christian</t>
  </si>
  <si>
    <t>Clinton</t>
  </si>
  <si>
    <t>Coles</t>
  </si>
  <si>
    <t>Cumberland</t>
  </si>
  <si>
    <t>De Witt</t>
  </si>
  <si>
    <t>Du Page</t>
  </si>
  <si>
    <t>Edgar</t>
  </si>
  <si>
    <t>Edwards</t>
  </si>
  <si>
    <t>Ford</t>
  </si>
  <si>
    <t>Gallatin</t>
  </si>
  <si>
    <t>Grundy</t>
  </si>
  <si>
    <t>Hardin</t>
  </si>
  <si>
    <t>Henderson</t>
  </si>
  <si>
    <t>Iroquois</t>
  </si>
  <si>
    <t>Jersey</t>
  </si>
  <si>
    <t>Jo Daviess</t>
  </si>
  <si>
    <t>Kane</t>
  </si>
  <si>
    <t>Kankakee</t>
  </si>
  <si>
    <t>Kendall</t>
  </si>
  <si>
    <t>Knox</t>
  </si>
  <si>
    <t>La Salle</t>
  </si>
  <si>
    <t>Livingston</t>
  </si>
  <si>
    <t>McDonough</t>
  </si>
  <si>
    <t>McHenry</t>
  </si>
  <si>
    <t>McLean</t>
  </si>
  <si>
    <t>Macoupin</t>
  </si>
  <si>
    <t>Mason</t>
  </si>
  <si>
    <t>Massac</t>
  </si>
  <si>
    <t>Menard</t>
  </si>
  <si>
    <t>Mercer</t>
  </si>
  <si>
    <t>Moultrie</t>
  </si>
  <si>
    <t>Ogle</t>
  </si>
  <si>
    <t>Peoria</t>
  </si>
  <si>
    <t>Piatt</t>
  </si>
  <si>
    <t>Richland</t>
  </si>
  <si>
    <t>Rock Island</t>
  </si>
  <si>
    <t>Sangamon</t>
  </si>
  <si>
    <t>Schuyler</t>
  </si>
  <si>
    <t>Stark</t>
  </si>
  <si>
    <t>Stephenson</t>
  </si>
  <si>
    <t>Tazewell</t>
  </si>
  <si>
    <t>Vermilion</t>
  </si>
  <si>
    <t>Wabash</t>
  </si>
  <si>
    <t>Whiteside</t>
  </si>
  <si>
    <t>Will</t>
  </si>
  <si>
    <t>Williamson</t>
  </si>
  <si>
    <t>Winnebago</t>
  </si>
  <si>
    <t>Woodford</t>
  </si>
  <si>
    <t>Allen</t>
  </si>
  <si>
    <t>Bartholomew</t>
  </si>
  <si>
    <t>Blackford</t>
  </si>
  <si>
    <t>Daviess</t>
  </si>
  <si>
    <t>Dearborn</t>
  </si>
  <si>
    <t>Delaware</t>
  </si>
  <si>
    <t>Dubois</t>
  </si>
  <si>
    <t>Elkhart</t>
  </si>
  <si>
    <t>Fountain</t>
  </si>
  <si>
    <t>Gibson</t>
  </si>
  <si>
    <t>Harrison</t>
  </si>
  <si>
    <t>Hendricks</t>
  </si>
  <si>
    <t>Huntington</t>
  </si>
  <si>
    <t>Jay</t>
  </si>
  <si>
    <t>Jennings</t>
  </si>
  <si>
    <t>Kosciusko</t>
  </si>
  <si>
    <t>Lagrange</t>
  </si>
  <si>
    <t>La Porte</t>
  </si>
  <si>
    <t>Miami</t>
  </si>
  <si>
    <t>Noble</t>
  </si>
  <si>
    <t>Ohio</t>
  </si>
  <si>
    <t>Owen</t>
  </si>
  <si>
    <t>Parke</t>
  </si>
  <si>
    <t>Porter</t>
  </si>
  <si>
    <t>Posey</t>
  </si>
  <si>
    <t>Ripley</t>
  </si>
  <si>
    <t>Rush</t>
  </si>
  <si>
    <t>St. Joseph</t>
  </si>
  <si>
    <t>Spencer</t>
  </si>
  <si>
    <t>Starke</t>
  </si>
  <si>
    <t>Steuben</t>
  </si>
  <si>
    <t>Sullivan</t>
  </si>
  <si>
    <t>Switzerland</t>
  </si>
  <si>
    <t>Tippecanoe</t>
  </si>
  <si>
    <t>Tipton</t>
  </si>
  <si>
    <t>Vanderburgh</t>
  </si>
  <si>
    <t>Vermillion</t>
  </si>
  <si>
    <t>Vigo</t>
  </si>
  <si>
    <t>Warrick</t>
  </si>
  <si>
    <t>Wells</t>
  </si>
  <si>
    <t>Whitley</t>
  </si>
  <si>
    <t>Adair</t>
  </si>
  <si>
    <t>Allamakee</t>
  </si>
  <si>
    <t>Appanoose</t>
  </si>
  <si>
    <t>Audubon</t>
  </si>
  <si>
    <t>Black Hawk</t>
  </si>
  <si>
    <t>Bremer</t>
  </si>
  <si>
    <t>Buchanan</t>
  </si>
  <si>
    <t>Buena Vista</t>
  </si>
  <si>
    <t>Cedar</t>
  </si>
  <si>
    <t>Cerro Gordo</t>
  </si>
  <si>
    <t>Chickasaw</t>
  </si>
  <si>
    <t>Davis</t>
  </si>
  <si>
    <t>Des Moines</t>
  </si>
  <si>
    <t>Dickinson</t>
  </si>
  <si>
    <t>Dubuque</t>
  </si>
  <si>
    <t>Emmet</t>
  </si>
  <si>
    <t>Guthrie</t>
  </si>
  <si>
    <t>Ida</t>
  </si>
  <si>
    <t>Iowa</t>
  </si>
  <si>
    <t>Keokuk</t>
  </si>
  <si>
    <t>Kossuth</t>
  </si>
  <si>
    <t>Linn</t>
  </si>
  <si>
    <t>Louisa</t>
  </si>
  <si>
    <t>Lucas</t>
  </si>
  <si>
    <t>Lyon</t>
  </si>
  <si>
    <t>Mahaska</t>
  </si>
  <si>
    <t>Mills</t>
  </si>
  <si>
    <t>Monona</t>
  </si>
  <si>
    <t>Muscatine</t>
  </si>
  <si>
    <t>O'Brien</t>
  </si>
  <si>
    <t>Page</t>
  </si>
  <si>
    <t>Palo Alto</t>
  </si>
  <si>
    <t>Plymouth</t>
  </si>
  <si>
    <t>Pocahontas</t>
  </si>
  <si>
    <t>Pottawattamie</t>
  </si>
  <si>
    <t>Poweshiek</t>
  </si>
  <si>
    <t>Ringgold</t>
  </si>
  <si>
    <t>Sac</t>
  </si>
  <si>
    <t>Sioux</t>
  </si>
  <si>
    <t>Story</t>
  </si>
  <si>
    <t>Tama</t>
  </si>
  <si>
    <t>Wapello</t>
  </si>
  <si>
    <t>Winneshiek</t>
  </si>
  <si>
    <t>Woodbury</t>
  </si>
  <si>
    <t>Wright</t>
  </si>
  <si>
    <t>Anderson</t>
  </si>
  <si>
    <t>Atchison</t>
  </si>
  <si>
    <t>Barber</t>
  </si>
  <si>
    <t>Barton</t>
  </si>
  <si>
    <t>Bourbon</t>
  </si>
  <si>
    <t>Chase</t>
  </si>
  <si>
    <t>Chautauqua</t>
  </si>
  <si>
    <t>Cloud</t>
  </si>
  <si>
    <t>Coffey</t>
  </si>
  <si>
    <t>Comanche</t>
  </si>
  <si>
    <t>Cowley</t>
  </si>
  <si>
    <t>Doniphan</t>
  </si>
  <si>
    <t>Elk</t>
  </si>
  <si>
    <t>Ellis</t>
  </si>
  <si>
    <t>Ellsworth</t>
  </si>
  <si>
    <t>Finney</t>
  </si>
  <si>
    <t>Geary</t>
  </si>
  <si>
    <t>Gove</t>
  </si>
  <si>
    <t>Gray</t>
  </si>
  <si>
    <t>Greeley</t>
  </si>
  <si>
    <t>Greenwood</t>
  </si>
  <si>
    <t>Harper</t>
  </si>
  <si>
    <t>Harvey</t>
  </si>
  <si>
    <t>Haskell</t>
  </si>
  <si>
    <t>Hodgeman</t>
  </si>
  <si>
    <t>Jewell</t>
  </si>
  <si>
    <t>Kearny</t>
  </si>
  <si>
    <t>Kingman</t>
  </si>
  <si>
    <t>Labette</t>
  </si>
  <si>
    <t>Lane</t>
  </si>
  <si>
    <t>Leavenworth</t>
  </si>
  <si>
    <t>McPherson</t>
  </si>
  <si>
    <t>Meade</t>
  </si>
  <si>
    <t>Morris</t>
  </si>
  <si>
    <t>Morton</t>
  </si>
  <si>
    <t>Nemaha</t>
  </si>
  <si>
    <t>Neosho</t>
  </si>
  <si>
    <t>Ness</t>
  </si>
  <si>
    <t>Norton</t>
  </si>
  <si>
    <t>Osage</t>
  </si>
  <si>
    <t>Osborne</t>
  </si>
  <si>
    <t>Ottawa</t>
  </si>
  <si>
    <t>Pawnee</t>
  </si>
  <si>
    <t>Pottawatomie</t>
  </si>
  <si>
    <t>Pratt</t>
  </si>
  <si>
    <t>Rawlins</t>
  </si>
  <si>
    <t>Reno</t>
  </si>
  <si>
    <t>Republic</t>
  </si>
  <si>
    <t>Rice</t>
  </si>
  <si>
    <t>Riley</t>
  </si>
  <si>
    <t>Rooks</t>
  </si>
  <si>
    <t>Seward</t>
  </si>
  <si>
    <t>Shawnee</t>
  </si>
  <si>
    <t>Sheridan</t>
  </si>
  <si>
    <t>Sherman</t>
  </si>
  <si>
    <t>Smith</t>
  </si>
  <si>
    <t>Stafford</t>
  </si>
  <si>
    <t>Stanton</t>
  </si>
  <si>
    <t>Stevens</t>
  </si>
  <si>
    <t>Sumner</t>
  </si>
  <si>
    <t>Trego</t>
  </si>
  <si>
    <t>Wabaunsee</t>
  </si>
  <si>
    <t>Wallace</t>
  </si>
  <si>
    <t>Wichita</t>
  </si>
  <si>
    <t>Wilson</t>
  </si>
  <si>
    <t>Woodson</t>
  </si>
  <si>
    <t>Wyandotte</t>
  </si>
  <si>
    <t>Ballard</t>
  </si>
  <si>
    <t>Barren</t>
  </si>
  <si>
    <t>Bath</t>
  </si>
  <si>
    <t>Bell</t>
  </si>
  <si>
    <t>Boyd</t>
  </si>
  <si>
    <t>Boyle</t>
  </si>
  <si>
    <t>Bracken</t>
  </si>
  <si>
    <t>Breathitt</t>
  </si>
  <si>
    <t>Breckinridge</t>
  </si>
  <si>
    <t>Bullitt</t>
  </si>
  <si>
    <t>Caldwell</t>
  </si>
  <si>
    <t>Calloway</t>
  </si>
  <si>
    <t>Campbell</t>
  </si>
  <si>
    <t>Carlisle</t>
  </si>
  <si>
    <t>Carter</t>
  </si>
  <si>
    <t>Casey</t>
  </si>
  <si>
    <t>Edmonson</t>
  </si>
  <si>
    <t>Elliott</t>
  </si>
  <si>
    <t>Estill</t>
  </si>
  <si>
    <t>Fleming</t>
  </si>
  <si>
    <t>Garrard</t>
  </si>
  <si>
    <t>Graves</t>
  </si>
  <si>
    <t>Grayson</t>
  </si>
  <si>
    <t>Green</t>
  </si>
  <si>
    <t>Greenup</t>
  </si>
  <si>
    <t>Harlan</t>
  </si>
  <si>
    <t>Hickman</t>
  </si>
  <si>
    <t>Hopkins</t>
  </si>
  <si>
    <t>Jessamine</t>
  </si>
  <si>
    <t>Kenton</t>
  </si>
  <si>
    <t>Knott</t>
  </si>
  <si>
    <t>Larue</t>
  </si>
  <si>
    <t>Laurel</t>
  </si>
  <si>
    <t>Leslie</t>
  </si>
  <si>
    <t>Letcher</t>
  </si>
  <si>
    <t>McCracken</t>
  </si>
  <si>
    <t>McCreary</t>
  </si>
  <si>
    <t>Magoffin</t>
  </si>
  <si>
    <t>Menifee</t>
  </si>
  <si>
    <t>Metcalfe</t>
  </si>
  <si>
    <t>Muhlenberg</t>
  </si>
  <si>
    <t>Nelson</t>
  </si>
  <si>
    <t>Nicholas</t>
  </si>
  <si>
    <t>Oldham</t>
  </si>
  <si>
    <t>Owsley</t>
  </si>
  <si>
    <t>Pendleton</t>
  </si>
  <si>
    <t>Powell</t>
  </si>
  <si>
    <t>Robertson</t>
  </si>
  <si>
    <t>Rockcastle</t>
  </si>
  <si>
    <t>Rowan</t>
  </si>
  <si>
    <t>Simpson</t>
  </si>
  <si>
    <t>Todd</t>
  </si>
  <si>
    <t>Trigg</t>
  </si>
  <si>
    <t>Trimble</t>
  </si>
  <si>
    <t>Wolfe</t>
  </si>
  <si>
    <t>Acadia Parish</t>
  </si>
  <si>
    <t>Allen Parish</t>
  </si>
  <si>
    <t>Ascension Parish</t>
  </si>
  <si>
    <t>Assumption Parish</t>
  </si>
  <si>
    <t>Avoyelles Parish</t>
  </si>
  <si>
    <t>Beauregard Parish</t>
  </si>
  <si>
    <t>Bienville Parish</t>
  </si>
  <si>
    <t>Bossier Parish</t>
  </si>
  <si>
    <t>Caddo Parish</t>
  </si>
  <si>
    <t>Calcasieu Parish</t>
  </si>
  <si>
    <t>Caldwell Parish</t>
  </si>
  <si>
    <t>Cameron Parish</t>
  </si>
  <si>
    <t>Catahoula Parish</t>
  </si>
  <si>
    <t>Claiborne Parish</t>
  </si>
  <si>
    <t>Concordia Parish</t>
  </si>
  <si>
    <t>De Soto Parish</t>
  </si>
  <si>
    <t>East Baton Rouge Parish</t>
  </si>
  <si>
    <t>East Carroll Parish</t>
  </si>
  <si>
    <t>East Feliciana Parish</t>
  </si>
  <si>
    <t>Evangeline Parish</t>
  </si>
  <si>
    <t>Franklin Parish</t>
  </si>
  <si>
    <t>Grant Parish</t>
  </si>
  <si>
    <t>Iberia Parish</t>
  </si>
  <si>
    <t>Iberville Parish</t>
  </si>
  <si>
    <t>Jackson Parish</t>
  </si>
  <si>
    <t>Jefferson Parish</t>
  </si>
  <si>
    <t>Jefferson Davis Parish</t>
  </si>
  <si>
    <t>Lafayette Parish</t>
  </si>
  <si>
    <t>Lafourche Parish</t>
  </si>
  <si>
    <t>La Salle Parish</t>
  </si>
  <si>
    <t>Lincoln Parish</t>
  </si>
  <si>
    <t>Livingston Parish</t>
  </si>
  <si>
    <t>Madison Parish</t>
  </si>
  <si>
    <t>Morehouse Parish</t>
  </si>
  <si>
    <t>Natchitoches Parish</t>
  </si>
  <si>
    <t>Orleans Parish</t>
  </si>
  <si>
    <t>Ouachita Parish</t>
  </si>
  <si>
    <t>Plaquemines Parish</t>
  </si>
  <si>
    <t>Pointe Coupee Parish</t>
  </si>
  <si>
    <t>Rapides Parish</t>
  </si>
  <si>
    <t>Red River Parish</t>
  </si>
  <si>
    <t>Richland Parish</t>
  </si>
  <si>
    <t>Sabine Parish</t>
  </si>
  <si>
    <t>St. Bernard Parish</t>
  </si>
  <si>
    <t>St. Charles Parish</t>
  </si>
  <si>
    <t>St. Helena Parish</t>
  </si>
  <si>
    <t>St. James Parish</t>
  </si>
  <si>
    <t>St. John the Baptist Parish</t>
  </si>
  <si>
    <t>St. Landry Parish</t>
  </si>
  <si>
    <t>St. Martin Parish</t>
  </si>
  <si>
    <t>St. Mary Parish</t>
  </si>
  <si>
    <t>St. Tammany Parish</t>
  </si>
  <si>
    <t>Tangipahoa Parish</t>
  </si>
  <si>
    <t>Tensas Parish</t>
  </si>
  <si>
    <t>Terrebonne Parish</t>
  </si>
  <si>
    <t>Union Parish</t>
  </si>
  <si>
    <t>Vermilion Parish</t>
  </si>
  <si>
    <t>Vernon Parish</t>
  </si>
  <si>
    <t>Washington Parish</t>
  </si>
  <si>
    <t>Webster Parish</t>
  </si>
  <si>
    <t>West Baton Rouge Parish</t>
  </si>
  <si>
    <t>West Carroll Parish</t>
  </si>
  <si>
    <t>West Feliciana Parish</t>
  </si>
  <si>
    <t>Winn Parish</t>
  </si>
  <si>
    <t>Androscoggin</t>
  </si>
  <si>
    <t>Aroostook</t>
  </si>
  <si>
    <t>Kennebec</t>
  </si>
  <si>
    <t>Oxford</t>
  </si>
  <si>
    <t>Penobscot</t>
  </si>
  <si>
    <t>Piscataquis</t>
  </si>
  <si>
    <t>Sagadahoc</t>
  </si>
  <si>
    <t>Somerset</t>
  </si>
  <si>
    <t>Waldo</t>
  </si>
  <si>
    <t>York</t>
  </si>
  <si>
    <t>Allegany</t>
  </si>
  <si>
    <t>Anne Arundel</t>
  </si>
  <si>
    <t>Baltimore</t>
  </si>
  <si>
    <t>Calvert</t>
  </si>
  <si>
    <t>Caroline</t>
  </si>
  <si>
    <t>Cecil</t>
  </si>
  <si>
    <t>Charles</t>
  </si>
  <si>
    <t>Dorchester</t>
  </si>
  <si>
    <t>Frederick</t>
  </si>
  <si>
    <t>Garrett</t>
  </si>
  <si>
    <t>Harford</t>
  </si>
  <si>
    <t>Prince George's</t>
  </si>
  <si>
    <t>Queen Anne's</t>
  </si>
  <si>
    <t>St. Mary's</t>
  </si>
  <si>
    <t>Wicomico</t>
  </si>
  <si>
    <t>Worcester</t>
  </si>
  <si>
    <t>Baltimore city</t>
  </si>
  <si>
    <t>Barnstable</t>
  </si>
  <si>
    <t>Berkshire</t>
  </si>
  <si>
    <t>Bristol</t>
  </si>
  <si>
    <t>Dukes</t>
  </si>
  <si>
    <t>Essex</t>
  </si>
  <si>
    <t>Hampden</t>
  </si>
  <si>
    <t>Hampshire</t>
  </si>
  <si>
    <t>Nantucket</t>
  </si>
  <si>
    <t>Norfolk</t>
  </si>
  <si>
    <t>Suffolk</t>
  </si>
  <si>
    <t>Alcona</t>
  </si>
  <si>
    <t>Alger</t>
  </si>
  <si>
    <t>Allegan</t>
  </si>
  <si>
    <t>Alpena</t>
  </si>
  <si>
    <t>Antrim</t>
  </si>
  <si>
    <t>Arenac</t>
  </si>
  <si>
    <t>Baraga</t>
  </si>
  <si>
    <t>Barry</t>
  </si>
  <si>
    <t>Benzie</t>
  </si>
  <si>
    <t>Branch</t>
  </si>
  <si>
    <t>Charlevoix</t>
  </si>
  <si>
    <t>Cheboygan</t>
  </si>
  <si>
    <t>Chippewa</t>
  </si>
  <si>
    <t>Clare</t>
  </si>
  <si>
    <t>Eaton</t>
  </si>
  <si>
    <t>Genesee</t>
  </si>
  <si>
    <t>Gladwin</t>
  </si>
  <si>
    <t>Gogebic</t>
  </si>
  <si>
    <t>Grand Traverse</t>
  </si>
  <si>
    <t>Gratiot</t>
  </si>
  <si>
    <t>Hillsdale</t>
  </si>
  <si>
    <t>Houghton</t>
  </si>
  <si>
    <t>Huron</t>
  </si>
  <si>
    <t>Ingham</t>
  </si>
  <si>
    <t>Ionia</t>
  </si>
  <si>
    <t>Iosco</t>
  </si>
  <si>
    <t>Iron</t>
  </si>
  <si>
    <t>Isabella</t>
  </si>
  <si>
    <t>Kalamazoo</t>
  </si>
  <si>
    <t>Kalkaska</t>
  </si>
  <si>
    <t>Keweenaw</t>
  </si>
  <si>
    <t>Lapeer</t>
  </si>
  <si>
    <t>Leelanau</t>
  </si>
  <si>
    <t>Lenawee</t>
  </si>
  <si>
    <t>Luce</t>
  </si>
  <si>
    <t>Mackinac</t>
  </si>
  <si>
    <t>Macomb</t>
  </si>
  <si>
    <t>Manistee</t>
  </si>
  <si>
    <t>Marquette</t>
  </si>
  <si>
    <t>Mecosta</t>
  </si>
  <si>
    <t>Menominee</t>
  </si>
  <si>
    <t>Midland</t>
  </si>
  <si>
    <t>Missaukee</t>
  </si>
  <si>
    <t>Montcalm</t>
  </si>
  <si>
    <t>Montmorency</t>
  </si>
  <si>
    <t>Muskegon</t>
  </si>
  <si>
    <t>Newaygo</t>
  </si>
  <si>
    <t>Oakland</t>
  </si>
  <si>
    <t>Oceana</t>
  </si>
  <si>
    <t>Ogemaw</t>
  </si>
  <si>
    <t>Ontonagon</t>
  </si>
  <si>
    <t>Oscoda</t>
  </si>
  <si>
    <t>Otsego</t>
  </si>
  <si>
    <t>Presque Isle</t>
  </si>
  <si>
    <t>Roscommon</t>
  </si>
  <si>
    <t>Saginaw</t>
  </si>
  <si>
    <t>Sanilac</t>
  </si>
  <si>
    <t>Schoolcraft</t>
  </si>
  <si>
    <t>Shiawassee</t>
  </si>
  <si>
    <t>Tuscola</t>
  </si>
  <si>
    <t>Washtenaw</t>
  </si>
  <si>
    <t>Wexford</t>
  </si>
  <si>
    <t>Aitkin</t>
  </si>
  <si>
    <t>Anoka</t>
  </si>
  <si>
    <t>Becker</t>
  </si>
  <si>
    <t>Beltrami</t>
  </si>
  <si>
    <t>Big Stone</t>
  </si>
  <si>
    <t>Blue Earth</t>
  </si>
  <si>
    <t>Carlton</t>
  </si>
  <si>
    <t>Carver</t>
  </si>
  <si>
    <t>Chisago</t>
  </si>
  <si>
    <t>Cottonwood</t>
  </si>
  <si>
    <t>Crow Wing</t>
  </si>
  <si>
    <t>Dakota</t>
  </si>
  <si>
    <t>Faribault</t>
  </si>
  <si>
    <t>Fillmore</t>
  </si>
  <si>
    <t>Freeborn</t>
  </si>
  <si>
    <t>Goodhue</t>
  </si>
  <si>
    <t>Hennepin</t>
  </si>
  <si>
    <t>Hubbard</t>
  </si>
  <si>
    <t>Isanti</t>
  </si>
  <si>
    <t>Itasca</t>
  </si>
  <si>
    <t>Kanabec</t>
  </si>
  <si>
    <t>Kandiyohi</t>
  </si>
  <si>
    <t>Kittson</t>
  </si>
  <si>
    <t>Koochiching</t>
  </si>
  <si>
    <t>Lac qui Parle</t>
  </si>
  <si>
    <t>Lake of the Woods</t>
  </si>
  <si>
    <t>Le Sueur</t>
  </si>
  <si>
    <t>McLeod</t>
  </si>
  <si>
    <t>Mahnomen</t>
  </si>
  <si>
    <t>Meeker</t>
  </si>
  <si>
    <t>Mille Lacs</t>
  </si>
  <si>
    <t>Morrison</t>
  </si>
  <si>
    <t>Mower</t>
  </si>
  <si>
    <t>Nicollet</t>
  </si>
  <si>
    <t>Nobles</t>
  </si>
  <si>
    <t>Norman</t>
  </si>
  <si>
    <t>Olmsted</t>
  </si>
  <si>
    <t>Otter Tail</t>
  </si>
  <si>
    <t>Pennington</t>
  </si>
  <si>
    <t>Pine</t>
  </si>
  <si>
    <t>Pipestone</t>
  </si>
  <si>
    <t>Ramsey</t>
  </si>
  <si>
    <t>Red Lake</t>
  </si>
  <si>
    <t>Redwood</t>
  </si>
  <si>
    <t>Renville</t>
  </si>
  <si>
    <t>Rock</t>
  </si>
  <si>
    <t>Roseau</t>
  </si>
  <si>
    <t>St. Louis</t>
  </si>
  <si>
    <t>Sherburne</t>
  </si>
  <si>
    <t>Sibley</t>
  </si>
  <si>
    <t>Stearns</t>
  </si>
  <si>
    <t>Steele</t>
  </si>
  <si>
    <t>Swift</t>
  </si>
  <si>
    <t>Traverse</t>
  </si>
  <si>
    <t>Wabasha</t>
  </si>
  <si>
    <t>Wadena</t>
  </si>
  <si>
    <t>Waseca</t>
  </si>
  <si>
    <t>Watonwan</t>
  </si>
  <si>
    <t>Wilkin</t>
  </si>
  <si>
    <t>Winona</t>
  </si>
  <si>
    <t>Yellow Medicine</t>
  </si>
  <si>
    <t>Alcorn</t>
  </si>
  <si>
    <t>Amite</t>
  </si>
  <si>
    <t>Attala</t>
  </si>
  <si>
    <t>Bolivar</t>
  </si>
  <si>
    <t>Claiborne</t>
  </si>
  <si>
    <t>Coahoma</t>
  </si>
  <si>
    <t>Copiah</t>
  </si>
  <si>
    <t>De Soto</t>
  </si>
  <si>
    <t>Forrest</t>
  </si>
  <si>
    <t>George</t>
  </si>
  <si>
    <t>Grenada</t>
  </si>
  <si>
    <t>Hinds</t>
  </si>
  <si>
    <t>Humphreys</t>
  </si>
  <si>
    <t>Issaquena</t>
  </si>
  <si>
    <t>Itawamba</t>
  </si>
  <si>
    <t>Jefferson Davis</t>
  </si>
  <si>
    <t>Kemper</t>
  </si>
  <si>
    <t>Leake</t>
  </si>
  <si>
    <t>Leflore</t>
  </si>
  <si>
    <t>Neshoba</t>
  </si>
  <si>
    <t>Noxubee</t>
  </si>
  <si>
    <t>Oktibbeha</t>
  </si>
  <si>
    <t>Panola</t>
  </si>
  <si>
    <t>Pearl River</t>
  </si>
  <si>
    <t>Pontotoc</t>
  </si>
  <si>
    <t>Prentiss</t>
  </si>
  <si>
    <t>Rankin</t>
  </si>
  <si>
    <t>Sharkey</t>
  </si>
  <si>
    <t>Sunflower</t>
  </si>
  <si>
    <t>Tallahatchie</t>
  </si>
  <si>
    <t>Tate</t>
  </si>
  <si>
    <t>Tippah</t>
  </si>
  <si>
    <t>Tishomingo</t>
  </si>
  <si>
    <t>Tunica</t>
  </si>
  <si>
    <t>Walthall</t>
  </si>
  <si>
    <t>Yalobusha</t>
  </si>
  <si>
    <t>Yazoo</t>
  </si>
  <si>
    <t>Andrew</t>
  </si>
  <si>
    <t>Audrain</t>
  </si>
  <si>
    <t>Bates</t>
  </si>
  <si>
    <t>Bollinger</t>
  </si>
  <si>
    <t>Callaway</t>
  </si>
  <si>
    <t>Cape Girardeau</t>
  </si>
  <si>
    <t>Chariton</t>
  </si>
  <si>
    <t>Cole</t>
  </si>
  <si>
    <t>Cooper</t>
  </si>
  <si>
    <t>Dent</t>
  </si>
  <si>
    <t>Dunklin</t>
  </si>
  <si>
    <t>Gasconade</t>
  </si>
  <si>
    <t>Gentry</t>
  </si>
  <si>
    <t>Hickory</t>
  </si>
  <si>
    <t>Holt</t>
  </si>
  <si>
    <t>Howell</t>
  </si>
  <si>
    <t>Laclede</t>
  </si>
  <si>
    <t>McDonald</t>
  </si>
  <si>
    <t>Maries</t>
  </si>
  <si>
    <t>Moniteau</t>
  </si>
  <si>
    <t>New Madrid</t>
  </si>
  <si>
    <t>Nodaway</t>
  </si>
  <si>
    <t>Oregon</t>
  </si>
  <si>
    <t>Ozark</t>
  </si>
  <si>
    <t>Pemiscot</t>
  </si>
  <si>
    <t>Pettis</t>
  </si>
  <si>
    <t>Phelps</t>
  </si>
  <si>
    <t>Platte</t>
  </si>
  <si>
    <t>Ralls</t>
  </si>
  <si>
    <t>Ray</t>
  </si>
  <si>
    <t>Reynolds</t>
  </si>
  <si>
    <t>St. Charles</t>
  </si>
  <si>
    <t>Ste. Genevieve</t>
  </si>
  <si>
    <t>St. Francois</t>
  </si>
  <si>
    <t>Scotland</t>
  </si>
  <si>
    <t>Shannon</t>
  </si>
  <si>
    <t>Stoddard</t>
  </si>
  <si>
    <t>Taney</t>
  </si>
  <si>
    <t>Texas</t>
  </si>
  <si>
    <t>Vernon</t>
  </si>
  <si>
    <t>St. Louis city</t>
  </si>
  <si>
    <t>Beaverhead</t>
  </si>
  <si>
    <t>Big Horn</t>
  </si>
  <si>
    <t>Broadwater</t>
  </si>
  <si>
    <t>Carbon</t>
  </si>
  <si>
    <t>Cascade</t>
  </si>
  <si>
    <t>Chouteau</t>
  </si>
  <si>
    <t>Daniels</t>
  </si>
  <si>
    <t>Deer Lodge</t>
  </si>
  <si>
    <t>Fallon</t>
  </si>
  <si>
    <t>Fergus</t>
  </si>
  <si>
    <t>Flathead</t>
  </si>
  <si>
    <t>Glacier</t>
  </si>
  <si>
    <t>Golden Valley</t>
  </si>
  <si>
    <t>Granite</t>
  </si>
  <si>
    <t>Hill</t>
  </si>
  <si>
    <t>Judith Basin</t>
  </si>
  <si>
    <t>Lewis and Clark</t>
  </si>
  <si>
    <t>McCone</t>
  </si>
  <si>
    <t>Meagher</t>
  </si>
  <si>
    <t>Missoula</t>
  </si>
  <si>
    <t>Musselshell</t>
  </si>
  <si>
    <t>Petroleum</t>
  </si>
  <si>
    <t>Pondera</t>
  </si>
  <si>
    <t>Powder River</t>
  </si>
  <si>
    <t>Ravalli</t>
  </si>
  <si>
    <t>Roosevelt</t>
  </si>
  <si>
    <t>Rosebud</t>
  </si>
  <si>
    <t>Sanders</t>
  </si>
  <si>
    <t>Silver Bow</t>
  </si>
  <si>
    <t>Stillwater</t>
  </si>
  <si>
    <t>Sweet Grass</t>
  </si>
  <si>
    <t>Toole</t>
  </si>
  <si>
    <t>Treasure</t>
  </si>
  <si>
    <t>Wheatland</t>
  </si>
  <si>
    <t>Wibaux</t>
  </si>
  <si>
    <t>Yellowstone</t>
  </si>
  <si>
    <t>Yellowstone National Park</t>
  </si>
  <si>
    <t>Antelope</t>
  </si>
  <si>
    <t>Arthur</t>
  </si>
  <si>
    <t>Banner</t>
  </si>
  <si>
    <t>Box Butte</t>
  </si>
  <si>
    <t>Buffalo</t>
  </si>
  <si>
    <t>Burt</t>
  </si>
  <si>
    <t>Cherry</t>
  </si>
  <si>
    <t>Colfax</t>
  </si>
  <si>
    <t>Cuming</t>
  </si>
  <si>
    <t>Dawes</t>
  </si>
  <si>
    <t>Deuel</t>
  </si>
  <si>
    <t>Dixon</t>
  </si>
  <si>
    <t>Dundy</t>
  </si>
  <si>
    <t>Frontier</t>
  </si>
  <si>
    <t>Furnas</t>
  </si>
  <si>
    <t>Gage</t>
  </si>
  <si>
    <t>Garden</t>
  </si>
  <si>
    <t>Gosper</t>
  </si>
  <si>
    <t>Hayes</t>
  </si>
  <si>
    <t>Hitchcock</t>
  </si>
  <si>
    <t>Hooker</t>
  </si>
  <si>
    <t>Kearney</t>
  </si>
  <si>
    <t>Keith</t>
  </si>
  <si>
    <t>Keya Paha</t>
  </si>
  <si>
    <t>Kimball</t>
  </si>
  <si>
    <t>Lancaster</t>
  </si>
  <si>
    <t>Loup</t>
  </si>
  <si>
    <t>Merrick</t>
  </si>
  <si>
    <t>Morrill</t>
  </si>
  <si>
    <t>Nance</t>
  </si>
  <si>
    <t>Nuckolls</t>
  </si>
  <si>
    <t>Otoe</t>
  </si>
  <si>
    <t>Perkins</t>
  </si>
  <si>
    <t>Red Willow</t>
  </si>
  <si>
    <t>Richardson</t>
  </si>
  <si>
    <t>Sarpy</t>
  </si>
  <si>
    <t>Saunders</t>
  </si>
  <si>
    <t>Scotts Bluff</t>
  </si>
  <si>
    <t>Thayer</t>
  </si>
  <si>
    <t>Thurston</t>
  </si>
  <si>
    <t>Churchill</t>
  </si>
  <si>
    <t>Elko</t>
  </si>
  <si>
    <t>Esmeralda</t>
  </si>
  <si>
    <t>Eureka</t>
  </si>
  <si>
    <t>Lander</t>
  </si>
  <si>
    <t>Nye</t>
  </si>
  <si>
    <t>Pershing</t>
  </si>
  <si>
    <t>Storey</t>
  </si>
  <si>
    <t>Washoe</t>
  </si>
  <si>
    <t>White Pine</t>
  </si>
  <si>
    <t>Carson City</t>
  </si>
  <si>
    <t>Belknap</t>
  </si>
  <si>
    <t>Cheshire</t>
  </si>
  <si>
    <t>Coos</t>
  </si>
  <si>
    <t>Grafton</t>
  </si>
  <si>
    <t>Merrimack</t>
  </si>
  <si>
    <t>Rockingham</t>
  </si>
  <si>
    <t>Strafford</t>
  </si>
  <si>
    <t>Atlantic</t>
  </si>
  <si>
    <t>Bergen</t>
  </si>
  <si>
    <t>Burlington</t>
  </si>
  <si>
    <t>Cape May</t>
  </si>
  <si>
    <t>Gloucester</t>
  </si>
  <si>
    <t>Hudson</t>
  </si>
  <si>
    <t>Hunterdon</t>
  </si>
  <si>
    <t>Monmouth</t>
  </si>
  <si>
    <t>Ocean</t>
  </si>
  <si>
    <t>Passaic</t>
  </si>
  <si>
    <t>Salem</t>
  </si>
  <si>
    <t>Bernalillo</t>
  </si>
  <si>
    <t>Catron</t>
  </si>
  <si>
    <t>Chaves</t>
  </si>
  <si>
    <t>Cibola</t>
  </si>
  <si>
    <t>Curry</t>
  </si>
  <si>
    <t>DeBaca</t>
  </si>
  <si>
    <t>Dona Ana</t>
  </si>
  <si>
    <t>Eddy</t>
  </si>
  <si>
    <t>Guadalupe</t>
  </si>
  <si>
    <t>Harding</t>
  </si>
  <si>
    <t>Hidalgo</t>
  </si>
  <si>
    <t>Lea</t>
  </si>
  <si>
    <t>Los Alamos</t>
  </si>
  <si>
    <t>Luna</t>
  </si>
  <si>
    <t>McKinley</t>
  </si>
  <si>
    <t>Mora</t>
  </si>
  <si>
    <t>Quay</t>
  </si>
  <si>
    <t>Rio Arriba</t>
  </si>
  <si>
    <t>Sandoval</t>
  </si>
  <si>
    <t>Santa Fe</t>
  </si>
  <si>
    <t>Socorro</t>
  </si>
  <si>
    <t>Taos</t>
  </si>
  <si>
    <t>Torrance</t>
  </si>
  <si>
    <t>Valencia</t>
  </si>
  <si>
    <t>Albany</t>
  </si>
  <si>
    <t>Bronx</t>
  </si>
  <si>
    <t>Broome</t>
  </si>
  <si>
    <t>Cattaraugus</t>
  </si>
  <si>
    <t>Cayuga</t>
  </si>
  <si>
    <t>Chemung</t>
  </si>
  <si>
    <t>Chenango</t>
  </si>
  <si>
    <t>Cortland</t>
  </si>
  <si>
    <t>Dutchess</t>
  </si>
  <si>
    <t>Erie</t>
  </si>
  <si>
    <t>Herkimer</t>
  </si>
  <si>
    <t>New York</t>
  </si>
  <si>
    <t>Niagara</t>
  </si>
  <si>
    <t>Onondaga</t>
  </si>
  <si>
    <t>Ontario</t>
  </si>
  <si>
    <t>Orleans</t>
  </si>
  <si>
    <t>Oswego</t>
  </si>
  <si>
    <t>Queens</t>
  </si>
  <si>
    <t>Rensselaer</t>
  </si>
  <si>
    <t>Rockland</t>
  </si>
  <si>
    <t>St. Lawrence</t>
  </si>
  <si>
    <t>Saratoga</t>
  </si>
  <si>
    <t>Schenectady</t>
  </si>
  <si>
    <t>Schoharie</t>
  </si>
  <si>
    <t>Seneca</t>
  </si>
  <si>
    <t>Tioga</t>
  </si>
  <si>
    <t>Tompkins</t>
  </si>
  <si>
    <t>Ulster</t>
  </si>
  <si>
    <t>Westchester</t>
  </si>
  <si>
    <t>Wyoming</t>
  </si>
  <si>
    <t>Yates</t>
  </si>
  <si>
    <t>Alamance</t>
  </si>
  <si>
    <t>Alleghany</t>
  </si>
  <si>
    <t>Anson</t>
  </si>
  <si>
    <t>Ashe</t>
  </si>
  <si>
    <t>Avery</t>
  </si>
  <si>
    <t>Beaufort</t>
  </si>
  <si>
    <t>Bertie</t>
  </si>
  <si>
    <t>Bladen</t>
  </si>
  <si>
    <t>Brunswick</t>
  </si>
  <si>
    <t>Buncombe</t>
  </si>
  <si>
    <t>Cabarrus</t>
  </si>
  <si>
    <t>Carteret</t>
  </si>
  <si>
    <t>Caswell</t>
  </si>
  <si>
    <t>Catawba</t>
  </si>
  <si>
    <t>Chowan</t>
  </si>
  <si>
    <t>Columbus</t>
  </si>
  <si>
    <t>Craven</t>
  </si>
  <si>
    <t>Currituck</t>
  </si>
  <si>
    <t>Dare</t>
  </si>
  <si>
    <t>Davidson</t>
  </si>
  <si>
    <t>Davie</t>
  </si>
  <si>
    <t>Duplin</t>
  </si>
  <si>
    <t>Durham</t>
  </si>
  <si>
    <t>Edgecombe</t>
  </si>
  <si>
    <t>Gaston</t>
  </si>
  <si>
    <t>Gates</t>
  </si>
  <si>
    <t>Granville</t>
  </si>
  <si>
    <t>Guilford</t>
  </si>
  <si>
    <t>Halifax</t>
  </si>
  <si>
    <t>Harnett</t>
  </si>
  <si>
    <t>Haywood</t>
  </si>
  <si>
    <t>Hertford</t>
  </si>
  <si>
    <t>Hoke</t>
  </si>
  <si>
    <t>Hyde</t>
  </si>
  <si>
    <t>Iredell</t>
  </si>
  <si>
    <t>Johnston</t>
  </si>
  <si>
    <t>Lenoir</t>
  </si>
  <si>
    <t>McDowell</t>
  </si>
  <si>
    <t>Mecklenburg</t>
  </si>
  <si>
    <t>Moore</t>
  </si>
  <si>
    <t>Nash</t>
  </si>
  <si>
    <t>New Hanover</t>
  </si>
  <si>
    <t>Northampton</t>
  </si>
  <si>
    <t>Onslow</t>
  </si>
  <si>
    <t>Pamlico</t>
  </si>
  <si>
    <t>Pasquotank</t>
  </si>
  <si>
    <t>Pender</t>
  </si>
  <si>
    <t>Perquimans</t>
  </si>
  <si>
    <t>Person</t>
  </si>
  <si>
    <t>Pitt</t>
  </si>
  <si>
    <t>Robeson</t>
  </si>
  <si>
    <t>Rutherford</t>
  </si>
  <si>
    <t>Sampson</t>
  </si>
  <si>
    <t>Stanly</t>
  </si>
  <si>
    <t>Stokes</t>
  </si>
  <si>
    <t>Surry</t>
  </si>
  <si>
    <t>Swain</t>
  </si>
  <si>
    <t>Transylvania</t>
  </si>
  <si>
    <t>Tyrrell</t>
  </si>
  <si>
    <t>Vance</t>
  </si>
  <si>
    <t>Wake</t>
  </si>
  <si>
    <t>Watauga</t>
  </si>
  <si>
    <t>Yadkin</t>
  </si>
  <si>
    <t>Yancey</t>
  </si>
  <si>
    <t>Barnes</t>
  </si>
  <si>
    <t>Benson</t>
  </si>
  <si>
    <t>Billings</t>
  </si>
  <si>
    <t>Bottineau</t>
  </si>
  <si>
    <t>Bowman</t>
  </si>
  <si>
    <t>Burleigh</t>
  </si>
  <si>
    <t>Cavalier</t>
  </si>
  <si>
    <t>Dickey</t>
  </si>
  <si>
    <t>Divide</t>
  </si>
  <si>
    <t>Dunn</t>
  </si>
  <si>
    <t>Emmons</t>
  </si>
  <si>
    <t>Foster</t>
  </si>
  <si>
    <t>Grand Forks</t>
  </si>
  <si>
    <t>Griggs</t>
  </si>
  <si>
    <t>Hettinger</t>
  </si>
  <si>
    <t>Kidder</t>
  </si>
  <si>
    <t>LaMoure</t>
  </si>
  <si>
    <t>McKenzie</t>
  </si>
  <si>
    <t>Mountrail</t>
  </si>
  <si>
    <t>Oliver</t>
  </si>
  <si>
    <t>Pembina</t>
  </si>
  <si>
    <t>Ransom</t>
  </si>
  <si>
    <t>Rolette</t>
  </si>
  <si>
    <t>Sargent</t>
  </si>
  <si>
    <t>Slope</t>
  </si>
  <si>
    <t>Stutsman</t>
  </si>
  <si>
    <t>Towner</t>
  </si>
  <si>
    <t>Traill</t>
  </si>
  <si>
    <t>Walsh</t>
  </si>
  <si>
    <t>Ward</t>
  </si>
  <si>
    <t>Williams</t>
  </si>
  <si>
    <t>Ashland</t>
  </si>
  <si>
    <t>Ashtabula</t>
  </si>
  <si>
    <t>Athens</t>
  </si>
  <si>
    <t>Auglaize</t>
  </si>
  <si>
    <t>Belmont</t>
  </si>
  <si>
    <t>Clermont</t>
  </si>
  <si>
    <t>Columbiana</t>
  </si>
  <si>
    <t>Coshocton</t>
  </si>
  <si>
    <t>Cuyahoga</t>
  </si>
  <si>
    <t>Darke</t>
  </si>
  <si>
    <t>Defiance</t>
  </si>
  <si>
    <t>Gallia</t>
  </si>
  <si>
    <t>Geauga</t>
  </si>
  <si>
    <t>Guernsey</t>
  </si>
  <si>
    <t>Highland</t>
  </si>
  <si>
    <t>Hocking</t>
  </si>
  <si>
    <t>Licking</t>
  </si>
  <si>
    <t>Lorain</t>
  </si>
  <si>
    <t>Mahoning</t>
  </si>
  <si>
    <t>Medina</t>
  </si>
  <si>
    <t>Meigs</t>
  </si>
  <si>
    <t>Morrow</t>
  </si>
  <si>
    <t>Muskingum</t>
  </si>
  <si>
    <t>Pickaway</t>
  </si>
  <si>
    <t>Portage</t>
  </si>
  <si>
    <t>Preble</t>
  </si>
  <si>
    <t>Ross</t>
  </si>
  <si>
    <t>Sandusky</t>
  </si>
  <si>
    <t>Scioto</t>
  </si>
  <si>
    <t>Trumbull</t>
  </si>
  <si>
    <t>Tuscarawas</t>
  </si>
  <si>
    <t>Van Wert</t>
  </si>
  <si>
    <t>Vinton</t>
  </si>
  <si>
    <t>Wood</t>
  </si>
  <si>
    <t>Wyandot</t>
  </si>
  <si>
    <t>Alfalfa</t>
  </si>
  <si>
    <t>Atoka</t>
  </si>
  <si>
    <t>Beaver</t>
  </si>
  <si>
    <t>Beckham</t>
  </si>
  <si>
    <t>Caddo</t>
  </si>
  <si>
    <t>Canadian</t>
  </si>
  <si>
    <t>Cimarron</t>
  </si>
  <si>
    <t>Coal</t>
  </si>
  <si>
    <t>Cotton</t>
  </si>
  <si>
    <t>Craig</t>
  </si>
  <si>
    <t>Creek</t>
  </si>
  <si>
    <t>Dewey</t>
  </si>
  <si>
    <t>Garvin</t>
  </si>
  <si>
    <t>Greer</t>
  </si>
  <si>
    <t>Harmon</t>
  </si>
  <si>
    <t>Hughes</t>
  </si>
  <si>
    <t>Kay</t>
  </si>
  <si>
    <t>Kingfisher</t>
  </si>
  <si>
    <t>Latimer</t>
  </si>
  <si>
    <t>Le Flore</t>
  </si>
  <si>
    <t>Love</t>
  </si>
  <si>
    <t>McClain</t>
  </si>
  <si>
    <t>McCurtain</t>
  </si>
  <si>
    <t>Major</t>
  </si>
  <si>
    <t>Mayes</t>
  </si>
  <si>
    <t>Muskogee</t>
  </si>
  <si>
    <t>Nowata</t>
  </si>
  <si>
    <t>Okfuskee</t>
  </si>
  <si>
    <t>Oklahoma</t>
  </si>
  <si>
    <t>Okmulgee</t>
  </si>
  <si>
    <t>Payne</t>
  </si>
  <si>
    <t>Pittsburg</t>
  </si>
  <si>
    <t>Pushmataha</t>
  </si>
  <si>
    <t>Roger Mills</t>
  </si>
  <si>
    <t>Rogers</t>
  </si>
  <si>
    <t>Sequoyah</t>
  </si>
  <si>
    <t>Tillman</t>
  </si>
  <si>
    <t>Tulsa</t>
  </si>
  <si>
    <t>Wagoner</t>
  </si>
  <si>
    <t>Washita</t>
  </si>
  <si>
    <t>Woods</t>
  </si>
  <si>
    <t>Woodward</t>
  </si>
  <si>
    <t>Clackamas</t>
  </si>
  <si>
    <t>Clatsop</t>
  </si>
  <si>
    <t>Crook</t>
  </si>
  <si>
    <t>Deschutes</t>
  </si>
  <si>
    <t>Gilliam</t>
  </si>
  <si>
    <t>Harney</t>
  </si>
  <si>
    <t>Hood River</t>
  </si>
  <si>
    <t>Josephine</t>
  </si>
  <si>
    <t>Klamath</t>
  </si>
  <si>
    <t>Malheur</t>
  </si>
  <si>
    <t>Multnomah</t>
  </si>
  <si>
    <t>Tillamook</t>
  </si>
  <si>
    <t>Umatilla</t>
  </si>
  <si>
    <t>Wallowa</t>
  </si>
  <si>
    <t>Wasco</t>
  </si>
  <si>
    <t>Yamhill</t>
  </si>
  <si>
    <t>Allegheny</t>
  </si>
  <si>
    <t>Armstrong</t>
  </si>
  <si>
    <t>Bedford</t>
  </si>
  <si>
    <t>Berks</t>
  </si>
  <si>
    <t>Blair</t>
  </si>
  <si>
    <t>Bucks</t>
  </si>
  <si>
    <t>Cambria</t>
  </si>
  <si>
    <t>Cameron</t>
  </si>
  <si>
    <t>Centre</t>
  </si>
  <si>
    <t>Chester</t>
  </si>
  <si>
    <t>Clarion</t>
  </si>
  <si>
    <t>Clearfield</t>
  </si>
  <si>
    <t>Dauphin</t>
  </si>
  <si>
    <t>Forest</t>
  </si>
  <si>
    <t>Huntingdon</t>
  </si>
  <si>
    <t>Indiana</t>
  </si>
  <si>
    <t>Juniata</t>
  </si>
  <si>
    <t>Lackawanna</t>
  </si>
  <si>
    <t>Lebanon</t>
  </si>
  <si>
    <t>Lehigh</t>
  </si>
  <si>
    <t>Luzerne</t>
  </si>
  <si>
    <t>Lycoming</t>
  </si>
  <si>
    <t>Mc Kean</t>
  </si>
  <si>
    <t>Mifflin</t>
  </si>
  <si>
    <t>Montour</t>
  </si>
  <si>
    <t>Northumberland</t>
  </si>
  <si>
    <t>Philadelphia</t>
  </si>
  <si>
    <t>Potter</t>
  </si>
  <si>
    <t>Schuylkill</t>
  </si>
  <si>
    <t>Snyder</t>
  </si>
  <si>
    <t>Susquehanna</t>
  </si>
  <si>
    <t>Venango</t>
  </si>
  <si>
    <t>Westmoreland</t>
  </si>
  <si>
    <t>Newport</t>
  </si>
  <si>
    <t>Providence</t>
  </si>
  <si>
    <t>Abbeville</t>
  </si>
  <si>
    <t>Aiken</t>
  </si>
  <si>
    <t>Allendale</t>
  </si>
  <si>
    <t>Bamberg</t>
  </si>
  <si>
    <t>Barnwell</t>
  </si>
  <si>
    <t>Berkeley</t>
  </si>
  <si>
    <t>Charleston</t>
  </si>
  <si>
    <t>Chesterfield</t>
  </si>
  <si>
    <t>Clarendon</t>
  </si>
  <si>
    <t>Colleton</t>
  </si>
  <si>
    <t>Darlington</t>
  </si>
  <si>
    <t>Dillon</t>
  </si>
  <si>
    <t>Edgefield</t>
  </si>
  <si>
    <t>Florence</t>
  </si>
  <si>
    <t>Georgetown</t>
  </si>
  <si>
    <t>Greenville</t>
  </si>
  <si>
    <t>Hampton</t>
  </si>
  <si>
    <t>Horry</t>
  </si>
  <si>
    <t>Kershaw</t>
  </si>
  <si>
    <t>Lexington</t>
  </si>
  <si>
    <t>McCormick</t>
  </si>
  <si>
    <t>Marlboro</t>
  </si>
  <si>
    <t>Newberry</t>
  </si>
  <si>
    <t>Orangeburg</t>
  </si>
  <si>
    <t>Saluda</t>
  </si>
  <si>
    <t>Spartanburg</t>
  </si>
  <si>
    <t>Williamsburg</t>
  </si>
  <si>
    <t>Aurora</t>
  </si>
  <si>
    <t>Beadle</t>
  </si>
  <si>
    <t>Bennett</t>
  </si>
  <si>
    <t>Bon Homme</t>
  </si>
  <si>
    <t>Brookings</t>
  </si>
  <si>
    <t>Brule</t>
  </si>
  <si>
    <t>Charles Mix</t>
  </si>
  <si>
    <t>Codington</t>
  </si>
  <si>
    <t>Corson</t>
  </si>
  <si>
    <t>Davison</t>
  </si>
  <si>
    <t>Day</t>
  </si>
  <si>
    <t>Edmunds</t>
  </si>
  <si>
    <t>Fall River</t>
  </si>
  <si>
    <t>Faulk</t>
  </si>
  <si>
    <t>Gregory</t>
  </si>
  <si>
    <t>Haakon</t>
  </si>
  <si>
    <t>Hamlin</t>
  </si>
  <si>
    <t>Hand</t>
  </si>
  <si>
    <t>Hanson</t>
  </si>
  <si>
    <t>Hutchinson</t>
  </si>
  <si>
    <t>Jerauld</t>
  </si>
  <si>
    <t>Kingsbury</t>
  </si>
  <si>
    <t>Lyman</t>
  </si>
  <si>
    <t>McCook</t>
  </si>
  <si>
    <t>Mellette</t>
  </si>
  <si>
    <t>Miner</t>
  </si>
  <si>
    <t>Minnehaha</t>
  </si>
  <si>
    <t>Moody</t>
  </si>
  <si>
    <t>Roberts</t>
  </si>
  <si>
    <t>Sanborn</t>
  </si>
  <si>
    <t>Spink</t>
  </si>
  <si>
    <t>Stanley</t>
  </si>
  <si>
    <t>Sully</t>
  </si>
  <si>
    <t>Tripp</t>
  </si>
  <si>
    <t>Walworth</t>
  </si>
  <si>
    <t>Yankton</t>
  </si>
  <si>
    <t>Ziebach</t>
  </si>
  <si>
    <t>Bledsoe</t>
  </si>
  <si>
    <t>Cannon</t>
  </si>
  <si>
    <t>Cheatham</t>
  </si>
  <si>
    <t>Cocke</t>
  </si>
  <si>
    <t>Crockett</t>
  </si>
  <si>
    <t>Dickson</t>
  </si>
  <si>
    <t>Dyer</t>
  </si>
  <si>
    <t>Fentress</t>
  </si>
  <si>
    <t>Giles</t>
  </si>
  <si>
    <t>Grainger</t>
  </si>
  <si>
    <t>Hamblen</t>
  </si>
  <si>
    <t>Hardeman</t>
  </si>
  <si>
    <t>Hawkins</t>
  </si>
  <si>
    <t>Loudon</t>
  </si>
  <si>
    <t>McMinn</t>
  </si>
  <si>
    <t>McNairy</t>
  </si>
  <si>
    <t>Maury</t>
  </si>
  <si>
    <t>Obion</t>
  </si>
  <si>
    <t>Overton</t>
  </si>
  <si>
    <t>Pickett</t>
  </si>
  <si>
    <t>Rhea</t>
  </si>
  <si>
    <t>Roane</t>
  </si>
  <si>
    <t>Sequatchie</t>
  </si>
  <si>
    <t>Trousdale</t>
  </si>
  <si>
    <t>Unicoi</t>
  </si>
  <si>
    <t>Weakley</t>
  </si>
  <si>
    <t>Andrews</t>
  </si>
  <si>
    <t>Angelina</t>
  </si>
  <si>
    <t>Aransas</t>
  </si>
  <si>
    <t>Archer</t>
  </si>
  <si>
    <t>Atascosa</t>
  </si>
  <si>
    <t>Austin</t>
  </si>
  <si>
    <t>Bailey</t>
  </si>
  <si>
    <t>Bandera</t>
  </si>
  <si>
    <t>Bastrop</t>
  </si>
  <si>
    <t>Baylor</t>
  </si>
  <si>
    <t>Bee</t>
  </si>
  <si>
    <t>Bexar</t>
  </si>
  <si>
    <t>Blanco</t>
  </si>
  <si>
    <t>Borden</t>
  </si>
  <si>
    <t>Bosque</t>
  </si>
  <si>
    <t>Bowie</t>
  </si>
  <si>
    <t>Brazoria</t>
  </si>
  <si>
    <t>Brazos</t>
  </si>
  <si>
    <t>Brewster</t>
  </si>
  <si>
    <t>Briscoe</t>
  </si>
  <si>
    <t>Burleson</t>
  </si>
  <si>
    <t>Burnet</t>
  </si>
  <si>
    <t>Callahan</t>
  </si>
  <si>
    <t>Camp</t>
  </si>
  <si>
    <t>Carson</t>
  </si>
  <si>
    <t>Castro</t>
  </si>
  <si>
    <t>Childress</t>
  </si>
  <si>
    <t>Cochran</t>
  </si>
  <si>
    <t>Coke</t>
  </si>
  <si>
    <t>Coleman</t>
  </si>
  <si>
    <t>Collin</t>
  </si>
  <si>
    <t>Collingsworth</t>
  </si>
  <si>
    <t>Colorado</t>
  </si>
  <si>
    <t>Comal</t>
  </si>
  <si>
    <t>Concho</t>
  </si>
  <si>
    <t>Cooke</t>
  </si>
  <si>
    <t>Coryell</t>
  </si>
  <si>
    <t>Cottle</t>
  </si>
  <si>
    <t>Crane</t>
  </si>
  <si>
    <t>Crosby</t>
  </si>
  <si>
    <t>Culberson</t>
  </si>
  <si>
    <t>Dallam</t>
  </si>
  <si>
    <t>Deaf Smith</t>
  </si>
  <si>
    <t>Denton</t>
  </si>
  <si>
    <t>DeWitt</t>
  </si>
  <si>
    <t>Dickens</t>
  </si>
  <si>
    <t>Dimmit</t>
  </si>
  <si>
    <t>Donley</t>
  </si>
  <si>
    <t>Eastland</t>
  </si>
  <si>
    <t>Ector</t>
  </si>
  <si>
    <t>Erath</t>
  </si>
  <si>
    <t>Falls</t>
  </si>
  <si>
    <t>Fisher</t>
  </si>
  <si>
    <t>Foard</t>
  </si>
  <si>
    <t>Fort Bend</t>
  </si>
  <si>
    <t>Freestone</t>
  </si>
  <si>
    <t>Frio</t>
  </si>
  <si>
    <t>Gaines</t>
  </si>
  <si>
    <t>Galveston</t>
  </si>
  <si>
    <t>Garza</t>
  </si>
  <si>
    <t>Gillespie</t>
  </si>
  <si>
    <t>Glasscock</t>
  </si>
  <si>
    <t>Goliad</t>
  </si>
  <si>
    <t>Gonzales</t>
  </si>
  <si>
    <t>Gregg</t>
  </si>
  <si>
    <t>Grimes</t>
  </si>
  <si>
    <t>Hansford</t>
  </si>
  <si>
    <t>Hartley</t>
  </si>
  <si>
    <t>Hays</t>
  </si>
  <si>
    <t>Hemphill</t>
  </si>
  <si>
    <t>Hockley</t>
  </si>
  <si>
    <t>Hood</t>
  </si>
  <si>
    <t>Hudspeth</t>
  </si>
  <si>
    <t>Hunt</t>
  </si>
  <si>
    <t>Irion</t>
  </si>
  <si>
    <t>Jack</t>
  </si>
  <si>
    <t>Jim Hogg</t>
  </si>
  <si>
    <t>Jim Wells</t>
  </si>
  <si>
    <t>Karnes</t>
  </si>
  <si>
    <t>Kaufman</t>
  </si>
  <si>
    <t>Kenedy</t>
  </si>
  <si>
    <t>Kerr</t>
  </si>
  <si>
    <t>Kimble</t>
  </si>
  <si>
    <t>King</t>
  </si>
  <si>
    <t>Kinney</t>
  </si>
  <si>
    <t>Kleberg</t>
  </si>
  <si>
    <t>Lamb</t>
  </si>
  <si>
    <t>Lampasas</t>
  </si>
  <si>
    <t>Lavaca</t>
  </si>
  <si>
    <t>Lipscomb</t>
  </si>
  <si>
    <t>Live Oak</t>
  </si>
  <si>
    <t>Llano</t>
  </si>
  <si>
    <t>Loving</t>
  </si>
  <si>
    <t>Lubbock</t>
  </si>
  <si>
    <t>Lynn</t>
  </si>
  <si>
    <t>McCulloch</t>
  </si>
  <si>
    <t>McLennan</t>
  </si>
  <si>
    <t>McMullen</t>
  </si>
  <si>
    <t>Matagorda</t>
  </si>
  <si>
    <t>Maverick</t>
  </si>
  <si>
    <t>Milam</t>
  </si>
  <si>
    <t>Montague</t>
  </si>
  <si>
    <t>Motley</t>
  </si>
  <si>
    <t>Nacogdoches</t>
  </si>
  <si>
    <t>Navarro</t>
  </si>
  <si>
    <t>Nolan</t>
  </si>
  <si>
    <t>Nueces</t>
  </si>
  <si>
    <t>Ochiltree</t>
  </si>
  <si>
    <t>Palo Pinto</t>
  </si>
  <si>
    <t>Parker</t>
  </si>
  <si>
    <t>Parmer</t>
  </si>
  <si>
    <t>Pecos</t>
  </si>
  <si>
    <t>Presidio</t>
  </si>
  <si>
    <t>Rains</t>
  </si>
  <si>
    <t>Randall</t>
  </si>
  <si>
    <t>Reagan</t>
  </si>
  <si>
    <t>Real</t>
  </si>
  <si>
    <t>Red River</t>
  </si>
  <si>
    <t>Reeves</t>
  </si>
  <si>
    <t>Refugio</t>
  </si>
  <si>
    <t>Rockwall</t>
  </si>
  <si>
    <t>Runnels</t>
  </si>
  <si>
    <t>Rusk</t>
  </si>
  <si>
    <t>Sabine</t>
  </si>
  <si>
    <t>San Augustine</t>
  </si>
  <si>
    <t>San Jacinto</t>
  </si>
  <si>
    <t>San Patricio</t>
  </si>
  <si>
    <t>San Saba</t>
  </si>
  <si>
    <t>Schleicher</t>
  </si>
  <si>
    <t>Scurry</t>
  </si>
  <si>
    <t>Shackelford</t>
  </si>
  <si>
    <t>Somervell</t>
  </si>
  <si>
    <t>Starr</t>
  </si>
  <si>
    <t>Sterling</t>
  </si>
  <si>
    <t>Stonewall</t>
  </si>
  <si>
    <t>Sutton</t>
  </si>
  <si>
    <t>Swisher</t>
  </si>
  <si>
    <t>Tarrant</t>
  </si>
  <si>
    <t>Terry</t>
  </si>
  <si>
    <t>Throckmorton</t>
  </si>
  <si>
    <t>Titus</t>
  </si>
  <si>
    <t>Tom Green</t>
  </si>
  <si>
    <t>Travis</t>
  </si>
  <si>
    <t>Tyler</t>
  </si>
  <si>
    <t>Upshur</t>
  </si>
  <si>
    <t>Upton</t>
  </si>
  <si>
    <t>Uvalde</t>
  </si>
  <si>
    <t>Val Verde</t>
  </si>
  <si>
    <t>Van Zandt</t>
  </si>
  <si>
    <t>Victoria</t>
  </si>
  <si>
    <t>Waller</t>
  </si>
  <si>
    <t>Webb</t>
  </si>
  <si>
    <t>Wharton</t>
  </si>
  <si>
    <t>Wilbarger</t>
  </si>
  <si>
    <t>Willacy</t>
  </si>
  <si>
    <t>Winkler</t>
  </si>
  <si>
    <t>Wise</t>
  </si>
  <si>
    <t>Yoakum</t>
  </si>
  <si>
    <t>Young</t>
  </si>
  <si>
    <t>Zapata</t>
  </si>
  <si>
    <t>Zavala</t>
  </si>
  <si>
    <t>Box Elder</t>
  </si>
  <si>
    <t>Cache</t>
  </si>
  <si>
    <t>Daggett</t>
  </si>
  <si>
    <t>Duchesne</t>
  </si>
  <si>
    <t>Emery</t>
  </si>
  <si>
    <t>Juab</t>
  </si>
  <si>
    <t>Millard</t>
  </si>
  <si>
    <t>Piute</t>
  </si>
  <si>
    <t>Rich</t>
  </si>
  <si>
    <t>Salt Lake</t>
  </si>
  <si>
    <t>Sanpete</t>
  </si>
  <si>
    <t>Tooele</t>
  </si>
  <si>
    <t>Uintah</t>
  </si>
  <si>
    <t>Utah</t>
  </si>
  <si>
    <t>Wasatch</t>
  </si>
  <si>
    <t>Weber</t>
  </si>
  <si>
    <t>Addison</t>
  </si>
  <si>
    <t>Bennington</t>
  </si>
  <si>
    <t>Caledonia</t>
  </si>
  <si>
    <t>Chittenden</t>
  </si>
  <si>
    <t>Grand Isle</t>
  </si>
  <si>
    <t>Lamoille</t>
  </si>
  <si>
    <t>Rutland</t>
  </si>
  <si>
    <t>Windsor</t>
  </si>
  <si>
    <t>Accomack</t>
  </si>
  <si>
    <t>Albemarle</t>
  </si>
  <si>
    <t>Amelia</t>
  </si>
  <si>
    <t>Amherst</t>
  </si>
  <si>
    <t>Appomattox</t>
  </si>
  <si>
    <t>Arlington</t>
  </si>
  <si>
    <t>Augusta</t>
  </si>
  <si>
    <t>Bland</t>
  </si>
  <si>
    <t>Botetourt</t>
  </si>
  <si>
    <t>Buckingham</t>
  </si>
  <si>
    <t>Charles City</t>
  </si>
  <si>
    <t>Culpeper</t>
  </si>
  <si>
    <t>Dickenson</t>
  </si>
  <si>
    <t>Dinwiddie</t>
  </si>
  <si>
    <t>Fairfax</t>
  </si>
  <si>
    <t>Fauquier</t>
  </si>
  <si>
    <t>Fluvanna</t>
  </si>
  <si>
    <t>Goochland</t>
  </si>
  <si>
    <t>Greensville</t>
  </si>
  <si>
    <t>Hanover</t>
  </si>
  <si>
    <t>Henrico</t>
  </si>
  <si>
    <t>Isle of Wight</t>
  </si>
  <si>
    <t>James City</t>
  </si>
  <si>
    <t>King and Queen</t>
  </si>
  <si>
    <t>King George</t>
  </si>
  <si>
    <t>King William</t>
  </si>
  <si>
    <t>Loudoun</t>
  </si>
  <si>
    <t>Lunenburg</t>
  </si>
  <si>
    <t>Mathews</t>
  </si>
  <si>
    <t>New Kent</t>
  </si>
  <si>
    <t>Nottoway</t>
  </si>
  <si>
    <t>Patrick</t>
  </si>
  <si>
    <t>Pittsylvania</t>
  </si>
  <si>
    <t>Powhatan</t>
  </si>
  <si>
    <t>Prince Edward</t>
  </si>
  <si>
    <t>Prince George</t>
  </si>
  <si>
    <t>Prince William</t>
  </si>
  <si>
    <t>Rappahannock</t>
  </si>
  <si>
    <t>Roanoke</t>
  </si>
  <si>
    <t>Rockbridge</t>
  </si>
  <si>
    <t>Shenandoah</t>
  </si>
  <si>
    <t>Smyth</t>
  </si>
  <si>
    <t>Southampton</t>
  </si>
  <si>
    <t>Spotsylvania</t>
  </si>
  <si>
    <t>Wythe</t>
  </si>
  <si>
    <t>Alexandria city</t>
  </si>
  <si>
    <t>Bedford city</t>
  </si>
  <si>
    <t>Bristol city</t>
  </si>
  <si>
    <t>Buena Vista city</t>
  </si>
  <si>
    <t>Charlottesville city</t>
  </si>
  <si>
    <t>Chesapeake city</t>
  </si>
  <si>
    <t>Clifton Forge city</t>
  </si>
  <si>
    <t>Colonial Heights city</t>
  </si>
  <si>
    <t>Covington city</t>
  </si>
  <si>
    <t>Danville city</t>
  </si>
  <si>
    <t>Emporia city</t>
  </si>
  <si>
    <t>Fairfax city</t>
  </si>
  <si>
    <t>Falls Church city</t>
  </si>
  <si>
    <t>Franklin city</t>
  </si>
  <si>
    <t>Fredericksburg city</t>
  </si>
  <si>
    <t>Galax city</t>
  </si>
  <si>
    <t>Hampton city</t>
  </si>
  <si>
    <t>Harrisonburg city</t>
  </si>
  <si>
    <t>Hopewell city</t>
  </si>
  <si>
    <t>Lexington city</t>
  </si>
  <si>
    <t>Lynchburg city</t>
  </si>
  <si>
    <t>Manassas city</t>
  </si>
  <si>
    <t>Manassas Park city</t>
  </si>
  <si>
    <t>Martinsville city</t>
  </si>
  <si>
    <t>Newport News city</t>
  </si>
  <si>
    <t>Norfolk city</t>
  </si>
  <si>
    <t>Norton city</t>
  </si>
  <si>
    <t>Petersburg city</t>
  </si>
  <si>
    <t>Poquoson city</t>
  </si>
  <si>
    <t>Portsmouth city</t>
  </si>
  <si>
    <t>Radford city</t>
  </si>
  <si>
    <t>Richmond city</t>
  </si>
  <si>
    <t>Roanoke city</t>
  </si>
  <si>
    <t>Salem city</t>
  </si>
  <si>
    <t>South Boston city</t>
  </si>
  <si>
    <t>Staunton city</t>
  </si>
  <si>
    <t>Suffolk city</t>
  </si>
  <si>
    <t>Virginia Beach city</t>
  </si>
  <si>
    <t>Waynesboro city</t>
  </si>
  <si>
    <t>Williamsburg city</t>
  </si>
  <si>
    <t>Winchester city</t>
  </si>
  <si>
    <t>Asotin</t>
  </si>
  <si>
    <t>Chelan</t>
  </si>
  <si>
    <t>Clallam</t>
  </si>
  <si>
    <t>Cowlitz</t>
  </si>
  <si>
    <t>Ferry</t>
  </si>
  <si>
    <t>Grays Harbor</t>
  </si>
  <si>
    <t>Island</t>
  </si>
  <si>
    <t>Kitsap</t>
  </si>
  <si>
    <t>Kittitas</t>
  </si>
  <si>
    <t>Klickitat</t>
  </si>
  <si>
    <t>Okanogan</t>
  </si>
  <si>
    <t>Pacific</t>
  </si>
  <si>
    <t>Pend Oreille</t>
  </si>
  <si>
    <t>Skagit</t>
  </si>
  <si>
    <t>Skamania</t>
  </si>
  <si>
    <t>Snohomish</t>
  </si>
  <si>
    <t>Spokane</t>
  </si>
  <si>
    <t>Wahkiakum</t>
  </si>
  <si>
    <t>Walla Walla</t>
  </si>
  <si>
    <t>Whatcom</t>
  </si>
  <si>
    <t>Whitman</t>
  </si>
  <si>
    <t>Yakima</t>
  </si>
  <si>
    <t>Braxton</t>
  </si>
  <si>
    <t>Brooke</t>
  </si>
  <si>
    <t>Cabell</t>
  </si>
  <si>
    <t>Doddridge</t>
  </si>
  <si>
    <t>Greenbrier</t>
  </si>
  <si>
    <t>Hardy</t>
  </si>
  <si>
    <t>Kanawha</t>
  </si>
  <si>
    <t>Mingo</t>
  </si>
  <si>
    <t>Monongalia</t>
  </si>
  <si>
    <t>Pleasants</t>
  </si>
  <si>
    <t>Preston</t>
  </si>
  <si>
    <t>Raleigh</t>
  </si>
  <si>
    <t>Ritchie</t>
  </si>
  <si>
    <t>Summers</t>
  </si>
  <si>
    <t>Tucker</t>
  </si>
  <si>
    <t>Wetzel</t>
  </si>
  <si>
    <t>Wirt</t>
  </si>
  <si>
    <t>Barron</t>
  </si>
  <si>
    <t>Bayfield</t>
  </si>
  <si>
    <t>Burnett</t>
  </si>
  <si>
    <t>Calumet</t>
  </si>
  <si>
    <t>Dane</t>
  </si>
  <si>
    <t>Door</t>
  </si>
  <si>
    <t>Eau Claire</t>
  </si>
  <si>
    <t>Fond du Lac</t>
  </si>
  <si>
    <t>Green Lake</t>
  </si>
  <si>
    <t>Juneau</t>
  </si>
  <si>
    <t>Kenosha</t>
  </si>
  <si>
    <t>Kewaunee</t>
  </si>
  <si>
    <t>La Crosse</t>
  </si>
  <si>
    <t>Langlade</t>
  </si>
  <si>
    <t>Manitowoc</t>
  </si>
  <si>
    <t>Marathon</t>
  </si>
  <si>
    <t>Marinette</t>
  </si>
  <si>
    <t>Milwaukee</t>
  </si>
  <si>
    <t>Oconto</t>
  </si>
  <si>
    <t>Outagamie</t>
  </si>
  <si>
    <t>Ozaukee</t>
  </si>
  <si>
    <t>Pepin</t>
  </si>
  <si>
    <t>Price</t>
  </si>
  <si>
    <t>Racine</t>
  </si>
  <si>
    <t>St. Croix</t>
  </si>
  <si>
    <t>Sauk</t>
  </si>
  <si>
    <t>Sawyer</t>
  </si>
  <si>
    <t>Shawano</t>
  </si>
  <si>
    <t>Sheboygan</t>
  </si>
  <si>
    <t>Trempealeau</t>
  </si>
  <si>
    <t>Vilas</t>
  </si>
  <si>
    <t>Washburn</t>
  </si>
  <si>
    <t>Waukesha</t>
  </si>
  <si>
    <t>Waupaca</t>
  </si>
  <si>
    <t>Waushara</t>
  </si>
  <si>
    <t>Converse</t>
  </si>
  <si>
    <t>Goshen</t>
  </si>
  <si>
    <t>Hot Springs</t>
  </si>
  <si>
    <t>Laramie</t>
  </si>
  <si>
    <t>Natrona</t>
  </si>
  <si>
    <t>Niobrara</t>
  </si>
  <si>
    <t>Sublette</t>
  </si>
  <si>
    <t>Sweetwater</t>
  </si>
  <si>
    <t>Uinta</t>
  </si>
  <si>
    <t>Washakie</t>
  </si>
  <si>
    <t>Weston</t>
  </si>
  <si>
    <t>Adjuntas</t>
  </si>
  <si>
    <t>Aguada</t>
  </si>
  <si>
    <t>Aguadilla</t>
  </si>
  <si>
    <t>Aguas Buenas</t>
  </si>
  <si>
    <t>Aibonito</t>
  </si>
  <si>
    <t>Anasco</t>
  </si>
  <si>
    <t>Arecibo</t>
  </si>
  <si>
    <t>Arroyo</t>
  </si>
  <si>
    <t>Barceloneta</t>
  </si>
  <si>
    <t>Barranquitas</t>
  </si>
  <si>
    <t>Bayamon</t>
  </si>
  <si>
    <t>Cabo Rojo</t>
  </si>
  <si>
    <t>Caguas</t>
  </si>
  <si>
    <t>Camuy</t>
  </si>
  <si>
    <t>Canovanas</t>
  </si>
  <si>
    <t>Carolina</t>
  </si>
  <si>
    <t>Catano</t>
  </si>
  <si>
    <t>Cayey</t>
  </si>
  <si>
    <t>Ceiba</t>
  </si>
  <si>
    <t>Ciales</t>
  </si>
  <si>
    <t>Cidra</t>
  </si>
  <si>
    <t>Coama</t>
  </si>
  <si>
    <t>Comerio</t>
  </si>
  <si>
    <t>Corozal</t>
  </si>
  <si>
    <t>Culebra</t>
  </si>
  <si>
    <t>Dorado</t>
  </si>
  <si>
    <t>Fajardo</t>
  </si>
  <si>
    <t>Florida</t>
  </si>
  <si>
    <t>Guanica</t>
  </si>
  <si>
    <t>Guayama</t>
  </si>
  <si>
    <t>Guayanilla</t>
  </si>
  <si>
    <t>Guaynabo</t>
  </si>
  <si>
    <t>Gurabo</t>
  </si>
  <si>
    <t>Hatillo</t>
  </si>
  <si>
    <t>Hormigueros</t>
  </si>
  <si>
    <t>Humacao</t>
  </si>
  <si>
    <t>Isabela</t>
  </si>
  <si>
    <t>Jayuya</t>
  </si>
  <si>
    <t>Juana Diaz</t>
  </si>
  <si>
    <t>Juncos</t>
  </si>
  <si>
    <t>Lajas</t>
  </si>
  <si>
    <t>Lares</t>
  </si>
  <si>
    <t>Las Marias</t>
  </si>
  <si>
    <t>Las Piedras</t>
  </si>
  <si>
    <t>Loiza</t>
  </si>
  <si>
    <t>Luquillo</t>
  </si>
  <si>
    <t>Manati</t>
  </si>
  <si>
    <t>Maricao</t>
  </si>
  <si>
    <t>Maunabo</t>
  </si>
  <si>
    <t>Mayaguez</t>
  </si>
  <si>
    <t>Moca</t>
  </si>
  <si>
    <t>Morovis</t>
  </si>
  <si>
    <t>Naguabo</t>
  </si>
  <si>
    <t>Naranjito</t>
  </si>
  <si>
    <t>Orocovis</t>
  </si>
  <si>
    <t>Patillas</t>
  </si>
  <si>
    <t>Penuelas</t>
  </si>
  <si>
    <t>Ponce</t>
  </si>
  <si>
    <t>Quebradillas</t>
  </si>
  <si>
    <t>Rincon</t>
  </si>
  <si>
    <t>Sabana Grande</t>
  </si>
  <si>
    <t>Salinas</t>
  </si>
  <si>
    <t>San German</t>
  </si>
  <si>
    <t>San Lorenzo</t>
  </si>
  <si>
    <t>San Sebastian</t>
  </si>
  <si>
    <t>Santa Isabel</t>
  </si>
  <si>
    <t>Toa Alta</t>
  </si>
  <si>
    <t>Toa Baja</t>
  </si>
  <si>
    <t>Trujillo Alto</t>
  </si>
  <si>
    <t>Utuado</t>
  </si>
  <si>
    <t>Vega Alta</t>
  </si>
  <si>
    <t>Vega Baja</t>
  </si>
  <si>
    <t>Vieques</t>
  </si>
  <si>
    <t>Villalba</t>
  </si>
  <si>
    <t>Yabucoa</t>
  </si>
  <si>
    <t>Yauco</t>
  </si>
  <si>
    <t>St Croix</t>
  </si>
  <si>
    <t>St John</t>
  </si>
  <si>
    <t>St Thomas</t>
  </si>
  <si>
    <t>Select State First</t>
  </si>
  <si>
    <t>$DB.LOOKUP.RANGE_LOOKUP_COUNTY_PLACEHOLDER</t>
  </si>
  <si>
    <t>COUNTY_PLACEHOLDER</t>
  </si>
  <si>
    <t xml:space="preserve">% Complete (Required Fields) </t>
  </si>
  <si>
    <t>$DB.CONFIG.TBL_CONFIG_WARNINGMSGS::[L|M]</t>
  </si>
  <si>
    <t>WARNINGMSG_ID</t>
  </si>
  <si>
    <t>WARNINGMSG_TEXT</t>
  </si>
  <si>
    <t>SECTION_1_WARNING_COUNT</t>
  </si>
  <si>
    <t>SECTION_1_WARNING_FLAG</t>
  </si>
  <si>
    <t>SECTION_7_WARNING_COUNT</t>
  </si>
  <si>
    <t>SECTION_7_WARNING_FLAG</t>
  </si>
  <si>
    <t>SECTION_6_WARNING_COUNT</t>
  </si>
  <si>
    <t>SECTION_6_WARNING_FLAG</t>
  </si>
  <si>
    <t>SECTION_5_WARNING_COUNT</t>
  </si>
  <si>
    <t>SECTION_5_WARNING_FLAG</t>
  </si>
  <si>
    <t>SECTION_4_WARNING_COUNT</t>
  </si>
  <si>
    <t>SECTION_4_WARNING_FLAG</t>
  </si>
  <si>
    <t>SECTION_3_WARNING_COUNT</t>
  </si>
  <si>
    <t>SECTION_3_WARNING_FLAG</t>
  </si>
  <si>
    <t>SECTION_2_WARNING_COUNT</t>
  </si>
  <si>
    <t>SECTION_2_WARNING_FLAG</t>
  </si>
  <si>
    <t>TOTAL_WARNING_COUNT</t>
  </si>
  <si>
    <t>TOTAL_WARNING_FLAG</t>
  </si>
  <si>
    <t>TOTAL_WARNING_FLAG_ICON</t>
  </si>
  <si>
    <t>TOTAL_WARNING_MESSAGE</t>
  </si>
  <si>
    <t>Warning(s) In Application; Please Review and Address Issues As Necessary</t>
  </si>
  <si>
    <t>Round Maintenance</t>
  </si>
  <si>
    <t>Welcome Screen</t>
  </si>
  <si>
    <t>Member Contact - Full Name</t>
  </si>
  <si>
    <t>Member Contact - Title</t>
  </si>
  <si>
    <t>Member Contact - Street Address</t>
  </si>
  <si>
    <t>Member Contact - City</t>
  </si>
  <si>
    <t>Member Contact - State</t>
  </si>
  <si>
    <t>Member Contact - Zip Code</t>
  </si>
  <si>
    <t>Member Contact - Email Address</t>
  </si>
  <si>
    <t>Member Contact - Telephone Number</t>
  </si>
  <si>
    <t>MEMBER_NAME</t>
  </si>
  <si>
    <t>MEMBER_CONTACT_FULLNAME</t>
  </si>
  <si>
    <t>MEMBER_CONTACT_TITLE</t>
  </si>
  <si>
    <t>MEMBER_CONTACT_ADDRESS</t>
  </si>
  <si>
    <t>MEMBER_CONTACT_CITY</t>
  </si>
  <si>
    <t>MEMBER_CONTACT_STATE</t>
  </si>
  <si>
    <t>MEMBER_CONTACT_ZIP_CODE</t>
  </si>
  <si>
    <t>MEMBER_CONTACT_EMAIL_ADDR</t>
  </si>
  <si>
    <t>MEMBER_CONTACT_PHONE_NO</t>
  </si>
  <si>
    <t>Member Information</t>
  </si>
  <si>
    <t>APP SECTION</t>
  </si>
  <si>
    <t>SPONSOR INFORMATION</t>
  </si>
  <si>
    <t>#1</t>
  </si>
  <si>
    <t>#2</t>
  </si>
  <si>
    <t>#3</t>
  </si>
  <si>
    <t>#4</t>
  </si>
  <si>
    <t>#5</t>
  </si>
  <si>
    <t>#6</t>
  </si>
  <si>
    <t>#7</t>
  </si>
  <si>
    <t>#8</t>
  </si>
  <si>
    <t>#9</t>
  </si>
  <si>
    <t>#10</t>
  </si>
  <si>
    <t>#11</t>
  </si>
  <si>
    <t>#12</t>
  </si>
  <si>
    <t>#13</t>
  </si>
  <si>
    <t>#14</t>
  </si>
  <si>
    <t>#15</t>
  </si>
  <si>
    <t>#16</t>
  </si>
  <si>
    <t>#17</t>
  </si>
  <si>
    <t>#18</t>
  </si>
  <si>
    <t>#19</t>
  </si>
  <si>
    <t>#20</t>
  </si>
  <si>
    <t>#21</t>
  </si>
  <si>
    <t>#22</t>
  </si>
  <si>
    <t>#23</t>
  </si>
  <si>
    <t>#24</t>
  </si>
  <si>
    <t>#25</t>
  </si>
  <si>
    <t>SPEC_FIELD_ID</t>
  </si>
  <si>
    <t>Sponsor Information</t>
  </si>
  <si>
    <t>#26</t>
  </si>
  <si>
    <t>#27</t>
  </si>
  <si>
    <t>#28</t>
  </si>
  <si>
    <t>#29</t>
  </si>
  <si>
    <t>#30</t>
  </si>
  <si>
    <t>#31</t>
  </si>
  <si>
    <t>#32</t>
  </si>
  <si>
    <t>WARNING_COUNT</t>
  </si>
  <si>
    <t>#37</t>
  </si>
  <si>
    <t>#38</t>
  </si>
  <si>
    <t>#39</t>
  </si>
  <si>
    <t>#40</t>
  </si>
  <si>
    <t>#41</t>
  </si>
  <si>
    <t>#42</t>
  </si>
  <si>
    <t>#44</t>
  </si>
  <si>
    <t>#45</t>
  </si>
  <si>
    <t>#48</t>
  </si>
  <si>
    <t>#49</t>
  </si>
  <si>
    <t>#50</t>
  </si>
  <si>
    <t>#51</t>
  </si>
  <si>
    <t>#54</t>
  </si>
  <si>
    <t>#55</t>
  </si>
  <si>
    <t>TOTAL_ERROR_COUNT</t>
  </si>
  <si>
    <t>ERROR_COUNT</t>
  </si>
  <si>
    <t>Not Used</t>
  </si>
  <si>
    <t>#60</t>
  </si>
  <si>
    <t>#61</t>
  </si>
  <si>
    <t>#62</t>
  </si>
  <si>
    <t>#63</t>
  </si>
  <si>
    <t>#64</t>
  </si>
  <si>
    <t>#65</t>
  </si>
  <si>
    <t>#66</t>
  </si>
  <si>
    <t>#67</t>
  </si>
  <si>
    <t>#68</t>
  </si>
  <si>
    <t>#69</t>
  </si>
  <si>
    <t>#70</t>
  </si>
  <si>
    <t>#71</t>
  </si>
  <si>
    <t>GU</t>
  </si>
  <si>
    <t>Guam</t>
  </si>
  <si>
    <t>TOC_ROW_START</t>
  </si>
  <si>
    <t>TOC_ROW_END_COL1</t>
  </si>
  <si>
    <t>TOC_ROW_COUNT_COL1</t>
  </si>
  <si>
    <t>Rural</t>
  </si>
  <si>
    <t>Valid Entry</t>
  </si>
  <si>
    <t>Invalid Entry</t>
  </si>
  <si>
    <t>No Entry Required</t>
  </si>
  <si>
    <t>ZIP Code</t>
  </si>
  <si>
    <t>CHAR_LIMIT_SMALL</t>
  </si>
  <si>
    <t>Narrative Char Limit - Small</t>
  </si>
  <si>
    <t>CHAR_LIMIT_MEDIUM</t>
  </si>
  <si>
    <t>CHAR_LIMIT_LARGE</t>
  </si>
  <si>
    <t>CHAR_LIMIT_XLARGE</t>
  </si>
  <si>
    <t>Narrative Char Limit - Medium</t>
  </si>
  <si>
    <t>Narrative Char Limit - Large</t>
  </si>
  <si>
    <t>Narrative Char Limit - X-Large</t>
  </si>
  <si>
    <t>Narrative Text Limits</t>
  </si>
  <si>
    <t>Small Narrative Field Character Limit</t>
  </si>
  <si>
    <t>Medium Narrative Field Character Limit</t>
  </si>
  <si>
    <t>Large Narrative Field Character Limit</t>
  </si>
  <si>
    <t>Extra-Large Narrative Field Character Limit</t>
  </si>
  <si>
    <t>CHAR_LIMIT_TEMPLATE_ERR</t>
  </si>
  <si>
    <t>CHAR_LIMIT_TEMPLATE</t>
  </si>
  <si>
    <t>Narrative Limit Template</t>
  </si>
  <si>
    <t>Narrative Limit Template Error</t>
  </si>
  <si>
    <t>[diff] character(s) remaining</t>
  </si>
  <si>
    <t>options: diff, limit, used</t>
  </si>
  <si>
    <t>Error: [diff] character(s) over</t>
  </si>
  <si>
    <t>Maintenance &amp; Application Settings</t>
  </si>
  <si>
    <t>AHEAD Round ID</t>
  </si>
  <si>
    <t>Subsidy Request Limit for Round</t>
  </si>
  <si>
    <t>Earliest Award Date</t>
  </si>
  <si>
    <t>Compliance Period End Date</t>
  </si>
  <si>
    <t>EARLIEST_AWARD_DATE</t>
  </si>
  <si>
    <t>COMPLIANCE_PERIOD_END_DATE</t>
  </si>
  <si>
    <t>AHEAD_ROUND</t>
  </si>
  <si>
    <t>$DB.LOOKUP.RANGE_LOOKUP_STATE</t>
  </si>
  <si>
    <t>$DB.LOOKUP.RANGE_LOOKUP_STATE_DISTRICT</t>
  </si>
  <si>
    <t>Government Agency</t>
  </si>
  <si>
    <t>Capacity Building</t>
  </si>
  <si>
    <t>$DB.LOOKUP.RANGE_LOOKUP_PROJECTTYPE</t>
  </si>
  <si>
    <t>Entrepreneurial/Microenterprise</t>
  </si>
  <si>
    <t>Financial Education</t>
  </si>
  <si>
    <t>Housing Initiative</t>
  </si>
  <si>
    <t>Job Training</t>
  </si>
  <si>
    <t>Other Economic Development</t>
  </si>
  <si>
    <t>Social Services</t>
  </si>
  <si>
    <t>Technical Assistance</t>
  </si>
  <si>
    <t>AHEAD Program Application</t>
  </si>
  <si>
    <t>PAGE_BANNER_SUBTITLE</t>
  </si>
  <si>
    <t>Application Budget</t>
  </si>
  <si>
    <t>Budget Period (≤18 months) - Start</t>
  </si>
  <si>
    <t>Budget Period - End</t>
  </si>
  <si>
    <t>TOTAL SOURCES OF FUNDS</t>
  </si>
  <si>
    <t>Project Income/Sources of Funds</t>
  </si>
  <si>
    <t>Project Budget  (Application)</t>
  </si>
  <si>
    <t>AHEAD (Requested)</t>
  </si>
  <si>
    <t>Other Sources (Anticipated)</t>
  </si>
  <si>
    <t>Other Sources (Committed)</t>
  </si>
  <si>
    <t>Must = 0</t>
  </si>
  <si>
    <t>AHEAD Grant</t>
  </si>
  <si>
    <t>Government Grants</t>
  </si>
  <si>
    <t>Foundation Grants</t>
  </si>
  <si>
    <t>Corporate Grants</t>
  </si>
  <si>
    <t>Individual Contributions</t>
  </si>
  <si>
    <t>In-Kind Support</t>
  </si>
  <si>
    <t>Fundraising</t>
  </si>
  <si>
    <t>Organization Income</t>
  </si>
  <si>
    <t>Client Fees</t>
  </si>
  <si>
    <t>Membership Fees</t>
  </si>
  <si>
    <t>Interest Income</t>
  </si>
  <si>
    <t>Other</t>
  </si>
  <si>
    <t>TOTAL INCOME</t>
  </si>
  <si>
    <t>TOTAL USES OF FUNDS</t>
  </si>
  <si>
    <t>Project Expenses/Uses of Funds</t>
  </si>
  <si>
    <t>Project Budget (Application)</t>
  </si>
  <si>
    <t>Other Sources</t>
  </si>
  <si>
    <t>Personnel</t>
  </si>
  <si>
    <t>Salaries &amp; Wages</t>
  </si>
  <si>
    <t>Employee Benefits &amp; Taxes</t>
  </si>
  <si>
    <t>Consultants</t>
  </si>
  <si>
    <t>Stipends/Incentives</t>
  </si>
  <si>
    <t>Program</t>
  </si>
  <si>
    <t>Professional Development</t>
  </si>
  <si>
    <t>Equipment</t>
  </si>
  <si>
    <t>Organizational Costs</t>
  </si>
  <si>
    <t>Curriculum Expenses</t>
  </si>
  <si>
    <t>Instructional Supplies</t>
  </si>
  <si>
    <t>Travel</t>
  </si>
  <si>
    <t>Marketing/Advertising</t>
  </si>
  <si>
    <t>Interest</t>
  </si>
  <si>
    <t>Overhead</t>
  </si>
  <si>
    <t>Rent &amp; Utilities</t>
  </si>
  <si>
    <t xml:space="preserve">Equipment </t>
  </si>
  <si>
    <t>Supplies &amp; Materials</t>
  </si>
  <si>
    <t>Insurance</t>
  </si>
  <si>
    <t>Telephone</t>
  </si>
  <si>
    <t>Postage and Delivery</t>
  </si>
  <si>
    <t>TOTAL EXPENSES</t>
  </si>
  <si>
    <r>
      <t>Excess/(</t>
    </r>
    <r>
      <rPr>
        <b/>
        <sz val="10"/>
        <color indexed="8"/>
        <rFont val="Arial"/>
        <family val="2"/>
      </rPr>
      <t>Deficiency)</t>
    </r>
  </si>
  <si>
    <t>UI_SHEET_REFERENCE</t>
  </si>
  <si>
    <t>PROJ_CONGRESSIONAL_DISTRICT</t>
  </si>
  <si>
    <t>Project Address - Congressional District</t>
  </si>
  <si>
    <t>PROJECT INFORMATION</t>
  </si>
  <si>
    <t>SPONS_WEBSITE_ADDRESS</t>
  </si>
  <si>
    <t>Sponsor Website Address</t>
  </si>
  <si>
    <t>Texct</t>
  </si>
  <si>
    <t>MEMBER INSTITUTION</t>
  </si>
  <si>
    <t>SPONS_ORG_TYPE</t>
  </si>
  <si>
    <t>SPONS_DESCRIPTION</t>
  </si>
  <si>
    <t>Sponsor Organization Type</t>
  </si>
  <si>
    <t>Sponsor Description</t>
  </si>
  <si>
    <t>SUBSIDY_AMOUNT_REQUESTED</t>
  </si>
  <si>
    <t>AHEAD Grant - Subsidy Amount Requested</t>
  </si>
  <si>
    <t>AHEAD GRANT</t>
  </si>
  <si>
    <t>PROJECT_START_DATE</t>
  </si>
  <si>
    <t>PROJECT_END_DATE</t>
  </si>
  <si>
    <t>SPONSOR_AHEAD_GRANT_FLG</t>
  </si>
  <si>
    <t>AHEAD Grant - Project Start Date</t>
  </si>
  <si>
    <t>AHEAD Grant - Project End Date</t>
  </si>
  <si>
    <t>AHEAD Grant - Previous Year Grant Received Flag</t>
  </si>
  <si>
    <t>PRIOR_AWARD_PROJNAME_1</t>
  </si>
  <si>
    <t>PRIOR_AWARD_AMT_1</t>
  </si>
  <si>
    <t>#33-#36</t>
  </si>
  <si>
    <t>PRIOR_AWARD_PROJNAME_2</t>
  </si>
  <si>
    <t>PRIOR_AWARD_AMT_2</t>
  </si>
  <si>
    <t>PRIOR_AWARD_PROJNAME_3</t>
  </si>
  <si>
    <t>PRIOR_AWARD_AMT_3</t>
  </si>
  <si>
    <t>PRIOR_AWARD_PROJNAME_4</t>
  </si>
  <si>
    <t>PRIOR_AWARD_AMT_4</t>
  </si>
  <si>
    <t>PRIOR_AWARD_PROJNAME_5</t>
  </si>
  <si>
    <t>PRIOR_AWARD_AMT_5</t>
  </si>
  <si>
    <t>SPONSOR_AHEAD_GRANT</t>
  </si>
  <si>
    <t>AHEAD Grant - Previous Year Grant - Project Name - 1</t>
  </si>
  <si>
    <t>AHEAD Grant - Previous Year Grant - Project Name - 2</t>
  </si>
  <si>
    <t>AHEAD Grant - Previous Year Grant - Project Name - 3</t>
  </si>
  <si>
    <t>AHEAD Grant - Previous Year Grant - Project Name - 4</t>
  </si>
  <si>
    <t>AHEAD Grant - Previous Year Grant - Project Name - 5</t>
  </si>
  <si>
    <t>AHEAD Grant - Previous Year Grant - Amount - 5</t>
  </si>
  <si>
    <t>AHEAD Grant - Previous Year Grant - Amount - 1</t>
  </si>
  <si>
    <t>AHEAD Grant - Previous Year Grant - Amount - 2</t>
  </si>
  <si>
    <t>AHEAD Grant - Previous Year Grant - Amount - 3</t>
  </si>
  <si>
    <t>AHEAD Grant - Previous Year Grant - Amount - 4</t>
  </si>
  <si>
    <t>AHEAD Grant - Previous Year Grant - Consolidated Export Field</t>
  </si>
  <si>
    <t>PROJECT SUMMARY</t>
  </si>
  <si>
    <t>PROJECT_SUMMARY</t>
  </si>
  <si>
    <t>PROJECT_TYPE</t>
  </si>
  <si>
    <t>Project Summary - Description</t>
  </si>
  <si>
    <t>Project Summary - Type</t>
  </si>
  <si>
    <t>PROJECT_ECON_DEVP</t>
  </si>
  <si>
    <t>Project Summary - Other Economic Development Description</t>
  </si>
  <si>
    <t>CREATE_RETAIN_JOB_FLG</t>
  </si>
  <si>
    <t>Project Summary - Create/Retain Jobs Flag</t>
  </si>
  <si>
    <t>CREATE_RETAIN_JOB</t>
  </si>
  <si>
    <t>#43</t>
  </si>
  <si>
    <t>Project Summary - Community Services or Benefits Flag</t>
  </si>
  <si>
    <t>Project Summary - SBA Qualification Flag</t>
  </si>
  <si>
    <t>Project Summary - 51% Salaries below 100%/115% AMI Flag</t>
  </si>
  <si>
    <t>Project Summary - 51% beneficiaries below 100%/115% AMI Flag</t>
  </si>
  <si>
    <t>PROJECT_ANNUAL_SAL_FLG</t>
  </si>
  <si>
    <t>PROJECT_SMALL_BUSINESS_FLG</t>
  </si>
  <si>
    <t>PROJECT_SERVICES_FLG</t>
  </si>
  <si>
    <t>PROJECT_ANNUAL_INCOME_FLG</t>
  </si>
  <si>
    <t>IMPACT_ENT_SERVED_ORG_NO</t>
  </si>
  <si>
    <t>IMPACT_NEW_ENT_SERVED_ORG_NO</t>
  </si>
  <si>
    <t>IMPACT_INDV_SERVED_ORG_NO</t>
  </si>
  <si>
    <t>IMPACT_NEW_INDV_SERVED_ORG_NO</t>
  </si>
  <si>
    <t>IMPACT_INDV_ENROLLED_FINCLEDU_ORG_NO</t>
  </si>
  <si>
    <t>IMPACT_NEW_INDV_ENROLLED_FINCLEDU_ORG_NO</t>
  </si>
  <si>
    <t>IMPACT_FULLTIME_ORG_NO</t>
  </si>
  <si>
    <t>IMPACT_NEW_FULLTIME_ORG_NO</t>
  </si>
  <si>
    <t>Project Summary - Impact - Individuals Served (Capacity, Housing Init, Other Econ, Social Services)</t>
  </si>
  <si>
    <t>Project Summary - Impact - New Individuals Served (Capacity, Housing Init, Other Econ, Social Services)</t>
  </si>
  <si>
    <t>Project Summary - Impact - Enterprises Served (Entrepreneurial/Microenterprise)</t>
  </si>
  <si>
    <t>Project Summary - Impact - New Enterprises Served (Entrepreneurial/Microenterprise)</t>
  </si>
  <si>
    <t>Project Summary - Impact - Individuals Enrolled Fincl Ed (Fincle Education)</t>
  </si>
  <si>
    <t>Project Summary - Impact - New Individuals Enrolled Fincl Ed (Fincle Education)</t>
  </si>
  <si>
    <t>Project Summary - Impact - Full-time employees (Job Training)</t>
  </si>
  <si>
    <t>Project Summary - Impact - New Full-time employees (Job Training)</t>
  </si>
  <si>
    <t>Project Summary - Impact - Individuals Rec TA (TA Projects)</t>
  </si>
  <si>
    <t>Project Summary - Impact - New Individuals Rec TA (TA Projects)</t>
  </si>
  <si>
    <t>IMPACT_INDV_TA_ORG_NO</t>
  </si>
  <si>
    <t>IMPACT_NEW_INDV_TA_ORG_NO</t>
  </si>
  <si>
    <t>#46,#52,#56,#58</t>
  </si>
  <si>
    <t>#47,#53,#57,#59</t>
  </si>
  <si>
    <t>PROJ_TYPEINFO_FIELD1</t>
  </si>
  <si>
    <t>PROJ_TYPEINFO_FIELD2</t>
  </si>
  <si>
    <t>Project Summary - Impact - Consolidated Field #1 (Export)</t>
  </si>
  <si>
    <t>Project Summary - Impact - Consolidated Field #2 (Export)</t>
  </si>
  <si>
    <t>#46-#60 (EVEN)</t>
  </si>
  <si>
    <t>#47-#61 (ODD)</t>
  </si>
  <si>
    <t xml:space="preserve">TB_ATRISK_FLG </t>
  </si>
  <si>
    <t>TB_LOW_FLG</t>
  </si>
  <si>
    <t>TB_OTHER_ATRISK_FLG</t>
  </si>
  <si>
    <t>TB_SENIORS_FLG</t>
  </si>
  <si>
    <t>TB_VETERANS_FLG</t>
  </si>
  <si>
    <t>TB_WOMEN_FLG</t>
  </si>
  <si>
    <t>TB_SELECTED_FLG</t>
  </si>
  <si>
    <t>Project Summary - Targeted Beneficiaries - One Selected Flag</t>
  </si>
  <si>
    <t>Project Summary - Targeted Beneficiaries - At-Risk Youth Flag</t>
  </si>
  <si>
    <t>Project Summary - Targeted Beneficiaries - Low-Mod Income Flag</t>
  </si>
  <si>
    <t>Project Summary - Targeted Beneficiaries - Seniors Flag</t>
  </si>
  <si>
    <t>Project Summary - Targeted Beneficiaries - Other At-Risk Pop Flag</t>
  </si>
  <si>
    <t>Project Summary - Targeted Beneficiaries - Veterans Flag</t>
  </si>
  <si>
    <t>Project Summary - Targeted Beneficiaries - Women Flag</t>
  </si>
  <si>
    <t>TB_OTHER_ATRISK_DESC</t>
  </si>
  <si>
    <t>Project Summary - Targeted Beneficiaries - Other At Risk Desc</t>
  </si>
  <si>
    <t>$DB.LOOKUP.RANGE_LOOKUP_TSA</t>
  </si>
  <si>
    <t>Urban</t>
  </si>
  <si>
    <t>Peri-Urban</t>
  </si>
  <si>
    <t>R</t>
  </si>
  <si>
    <t>U</t>
  </si>
  <si>
    <t>P</t>
  </si>
  <si>
    <t>O</t>
  </si>
  <si>
    <t>TSA_SELECTION</t>
  </si>
  <si>
    <t>TSA_FLG</t>
  </si>
  <si>
    <t>Project Summary - Targeted Service Area - Selection</t>
  </si>
  <si>
    <t>Project Summary - Targeted Service Area - Flag (Code)</t>
  </si>
  <si>
    <t>TSA_DESC</t>
  </si>
  <si>
    <t>HUD_EMPOWERMENT_FLG</t>
  </si>
  <si>
    <t>HUD_ENTERPRISE_FLG</t>
  </si>
  <si>
    <t>HUD_CHAMPION_FLG</t>
  </si>
  <si>
    <t>Project Summary - Targeted Service Area - Other Description</t>
  </si>
  <si>
    <t>USDA_CHAMPION_FLG</t>
  </si>
  <si>
    <t>USDA_EMPOWERMENT_FLG</t>
  </si>
  <si>
    <t>USDA_ENTERPRISE_FLG</t>
  </si>
  <si>
    <t>URBAN_NEIGHBORHOOD_FLG</t>
  </si>
  <si>
    <t>RURAL_NEIGHBORHOOD_FLG</t>
  </si>
  <si>
    <t>INDIAN_AREA_FLG</t>
  </si>
  <si>
    <t>Project Summary - Targeted Areas - USDA - Rural Champion Community Flag</t>
  </si>
  <si>
    <t>Project Summary - Targeted Areas - USDA - Rural Enterprise Community Flag</t>
  </si>
  <si>
    <t>Project Summary - Targeted Areas - USDA - Rural Empowerment Zone Flag</t>
  </si>
  <si>
    <t>Project Summary - Targeted Areas - HUD - Urban Champion Community Flag</t>
  </si>
  <si>
    <t>Project Summary - Targeted Areas - HUD - Urban Enterprise Community Flag</t>
  </si>
  <si>
    <t>Project Summary - Targeted Areas - HUD - Urban Empowerment Zone Flag</t>
  </si>
  <si>
    <t>Project Summary - Targeted Areas - Urban Comm. Avg below 100% AMI Flag</t>
  </si>
  <si>
    <t>Project Summary - Targeted Areas - Rural Comm. Avg Below 115% AMI Flag</t>
  </si>
  <si>
    <t>Project Summary - Targeted Areas - Indian Area Flag</t>
  </si>
  <si>
    <t>PROJECT_RESULT</t>
  </si>
  <si>
    <t>Project Summary - Results Measured Desc</t>
  </si>
  <si>
    <t>AWARD_USED_18MO_FLAG</t>
  </si>
  <si>
    <t>Project Use of Funds - Award used within 18 Months Flag</t>
  </si>
  <si>
    <t>#72</t>
  </si>
  <si>
    <t>PROJECT USE OF FUNDS</t>
  </si>
  <si>
    <t>AWARD_USED_DESC</t>
  </si>
  <si>
    <t>Project Use of Funds - Award Usage Description</t>
  </si>
  <si>
    <t>#73</t>
  </si>
  <si>
    <t>OTHER_GRANT_FLG</t>
  </si>
  <si>
    <t>OTHER_LOAN_FLG</t>
  </si>
  <si>
    <t>OTHER_NON_FIN_INVOL_FLG</t>
  </si>
  <si>
    <t>Project Use of Funds - Member Involvement - Other Grant Flag</t>
  </si>
  <si>
    <t>Project Use of Funds - Member Involvement - Loan Type Flag</t>
  </si>
  <si>
    <t>Project Use of Funds - Member Involvement - Other Non Financial Invol. Flag</t>
  </si>
  <si>
    <t>#74</t>
  </si>
  <si>
    <t>Project Use of Funds - Member Involvement - Other Grant Amount</t>
  </si>
  <si>
    <t>#75</t>
  </si>
  <si>
    <t>Project Use of Funds - Member Involvement - Other Loan Amount</t>
  </si>
  <si>
    <t>#76</t>
  </si>
  <si>
    <t>OTHER_NON_FIN_INVOL_DESC</t>
  </si>
  <si>
    <t>Project Use of Funds - Member Involvement - Other Non Fin. Invol Desc</t>
  </si>
  <si>
    <t>#77</t>
  </si>
  <si>
    <t>Inferred this field based upon PDF app</t>
  </si>
  <si>
    <t>FUNDSRC_ROW1_SOURCE</t>
  </si>
  <si>
    <t>FUNDSRC_ROW1_AMOUNT</t>
  </si>
  <si>
    <t>FUNDSRC_ROW1_REQ_FLG</t>
  </si>
  <si>
    <t>FUNDSRC_ROW1_COMMIT_FLG</t>
  </si>
  <si>
    <t>Project Use of Funds - Other Funding Sources Table - Source</t>
  </si>
  <si>
    <t>Project Use of Funds - Other Funding Sources Table - Amount</t>
  </si>
  <si>
    <t>Project Use of Funds - Other Funding Sources Table - Requested</t>
  </si>
  <si>
    <t>Project Use of Funds - Other Funding Sources Table - Committed</t>
  </si>
  <si>
    <t>#78</t>
  </si>
  <si>
    <t>#79</t>
  </si>
  <si>
    <t>#80</t>
  </si>
  <si>
    <t>FUNDSRC_ROW2_SOURCE</t>
  </si>
  <si>
    <t>FUNDSRC_ROW2_AMOUNT</t>
  </si>
  <si>
    <t>FUNDSRC_ROW2_REQ_FLG</t>
  </si>
  <si>
    <t>FUNDSRC_ROW2_COMMIT_FLG</t>
  </si>
  <si>
    <t>FUNDSRC_ROW3_SOURCE</t>
  </si>
  <si>
    <t>FUNDSRC_ROW3_AMOUNT</t>
  </si>
  <si>
    <t>FUNDSRC_ROW3_REQ_FLG</t>
  </si>
  <si>
    <t>FUNDSRC_ROW3_COMMIT_FLG</t>
  </si>
  <si>
    <t>FUNDSRC_ROW4_SOURCE</t>
  </si>
  <si>
    <t>FUNDSRC_ROW4_AMOUNT</t>
  </si>
  <si>
    <t>FUNDSRC_ROW4_REQ_FLG</t>
  </si>
  <si>
    <t>FUNDSRC_ROW4_COMMIT_FLG</t>
  </si>
  <si>
    <t>#81</t>
  </si>
  <si>
    <t>#82</t>
  </si>
  <si>
    <t>#83</t>
  </si>
  <si>
    <t>#84</t>
  </si>
  <si>
    <t>#85</t>
  </si>
  <si>
    <t>#86</t>
  </si>
  <si>
    <t>#87</t>
  </si>
  <si>
    <t>#88</t>
  </si>
  <si>
    <t>#89</t>
  </si>
  <si>
    <t>#90</t>
  </si>
  <si>
    <t>#91</t>
  </si>
  <si>
    <t>#92</t>
  </si>
  <si>
    <t>OTHER_ORG_INVOL_FLG</t>
  </si>
  <si>
    <t>Project Use of Funds - Other Organizations Involved Flag</t>
  </si>
  <si>
    <t>#93</t>
  </si>
  <si>
    <t>OTHER_ORG_INVOL_ROW1_ORGNAME</t>
  </si>
  <si>
    <t>Project Use of Funds - Other Organizations Involved - Org. Name</t>
  </si>
  <si>
    <t>#94</t>
  </si>
  <si>
    <t>Not Used, Left for Future Use</t>
  </si>
  <si>
    <t>OTHER_ORG_INVOL_ROW1_INVOLVEMENT</t>
  </si>
  <si>
    <t>Project Use of Funds - Other Organizations Involved - Involvement</t>
  </si>
  <si>
    <t>#95</t>
  </si>
  <si>
    <t>OTHER_ORG_INVOL_ROW2_ORGNAME</t>
  </si>
  <si>
    <t>OTHER_ORG_INVOL_ROW2_INVOLVEMENT</t>
  </si>
  <si>
    <t>OTHER_ORG_INVOL_ROW3_ORGNAME</t>
  </si>
  <si>
    <t>OTHER_ORG_INVOL_ROW3_INVOLVEMENT</t>
  </si>
  <si>
    <t>OTHER_ORG_INVOL_ROW4_ORGNAME</t>
  </si>
  <si>
    <t>OTHER_ORG_INVOL_ROW4_INVOLVEMENT</t>
  </si>
  <si>
    <t>#96</t>
  </si>
  <si>
    <t>#97</t>
  </si>
  <si>
    <t>#98</t>
  </si>
  <si>
    <t>#99</t>
  </si>
  <si>
    <t>#100</t>
  </si>
  <si>
    <t>#101</t>
  </si>
  <si>
    <t>#76.5</t>
  </si>
  <si>
    <t>OTHER_GRANT_AMOUNT</t>
  </si>
  <si>
    <t>OTHER_LOAN_AMOUNT</t>
  </si>
  <si>
    <t>Application Complete Flag</t>
  </si>
  <si>
    <t>AHEAD Round (Year)</t>
  </si>
  <si>
    <t>PROJECT_NAME</t>
  </si>
  <si>
    <t>PROJECT_ADDRESS_1</t>
  </si>
  <si>
    <t>PROJECT_CITY</t>
  </si>
  <si>
    <t>PROJECT_STATE</t>
  </si>
  <si>
    <t>PROJECT_ZIP_CD</t>
  </si>
  <si>
    <t>CONGRESSIONAL_DISTRICT</t>
  </si>
  <si>
    <t>PROJECT_COUNTY_CD</t>
  </si>
  <si>
    <t>Mapping | Comments</t>
  </si>
  <si>
    <t>Mapping | DB Field Type</t>
  </si>
  <si>
    <t>Mapping | DB Field Name</t>
  </si>
  <si>
    <t>County Name must be converted to Code on Import</t>
  </si>
  <si>
    <t>VARCHAR2(250 BYTE)</t>
  </si>
  <si>
    <t>CHAR(2 BYTE)</t>
  </si>
  <si>
    <t>VARCHAR2(10 BYTE)</t>
  </si>
  <si>
    <t>NUMBER(38,0)</t>
  </si>
  <si>
    <t>NUMBER(10,2)</t>
  </si>
  <si>
    <t>CHAR(1 BYTE)</t>
  </si>
  <si>
    <t>VARCHAR2(1500 BYTE)</t>
  </si>
  <si>
    <t>PROJECT_TYPE_CD</t>
  </si>
  <si>
    <t>Project Type must be converted to Code on import</t>
  </si>
  <si>
    <t>NUMBER(15,0)</t>
  </si>
  <si>
    <t>VARCHAR2(200 BYTE)</t>
  </si>
  <si>
    <t>Project Information</t>
  </si>
  <si>
    <t>Member Institution</t>
  </si>
  <si>
    <t>Project Use of Funds</t>
  </si>
  <si>
    <t>Project Summary</t>
  </si>
  <si>
    <t>Email Address</t>
  </si>
  <si>
    <t>Congressional District</t>
  </si>
  <si>
    <t>Member Contact Name</t>
  </si>
  <si>
    <t>Sponsor Contact Name</t>
  </si>
  <si>
    <t>Telephone Number</t>
  </si>
  <si>
    <t>Website Address</t>
  </si>
  <si>
    <t>Type of Organization</t>
  </si>
  <si>
    <t>Has the project or Sponsor received an AHEAD grant in a previous year(s)?</t>
  </si>
  <si>
    <t>Award Amount</t>
  </si>
  <si>
    <t>Project Summary - Create/Retain Jobs Count (User Input)</t>
  </si>
  <si>
    <t>User Input for retain job count</t>
  </si>
  <si>
    <t>If no jobs retained (_flg above), this will calc to zero as requested</t>
  </si>
  <si>
    <t>CREATE_RETAIN_JOB_COUNT</t>
  </si>
  <si>
    <t>Project Summary - Create/Retain Jobs Count (Defaulted to 0 if _flg = false)</t>
  </si>
  <si>
    <t>If Other Economic Development selected above, provide a brief explanation of type of economic development project:</t>
  </si>
  <si>
    <t>All Project Types</t>
  </si>
  <si>
    <t>Will the project create or retain jobs?</t>
  </si>
  <si>
    <t>If Yes, estimate the number of jobs to be created or retained</t>
  </si>
  <si>
    <t>Do at least 51% of the jobs created or retained by the project or activity have annual salaries at or below 100% AMI in urban areas, or 115% in rural areas?</t>
  </si>
  <si>
    <t>Does the project qualify as a small business under section 3(a) of the Small Business Administration
Act (15 U.S.C. 632(a))?</t>
  </si>
  <si>
    <t>Will the project provide services or benefits (e.g. social services, childcare, public works, etc.) to the community?</t>
  </si>
  <si>
    <t>Do at least 51% of households who benefit from, or are provided services by, the project or activity have annual incomes at or below 100% AMI in urban areas, or 115% in rural areas?</t>
  </si>
  <si>
    <t>Capacity Building, Housing Initiative, Other Economic Development or Social Services projects only</t>
  </si>
  <si>
    <t>Entrepreneurial/Microenterprise projects only</t>
  </si>
  <si>
    <t>Financial Education projects only</t>
  </si>
  <si>
    <t>Job Training projects only</t>
  </si>
  <si>
    <t>Technical Assistance (TA) projects only</t>
  </si>
  <si>
    <r>
      <t xml:space="preserve">Project Impact </t>
    </r>
    <r>
      <rPr>
        <i/>
        <sz val="10"/>
        <color theme="1"/>
        <rFont val="Arial"/>
        <family val="2"/>
      </rPr>
      <t>(Complete as appropriate for the Project Type selected above)</t>
    </r>
  </si>
  <si>
    <r>
      <t>Targeted Beneficiaries</t>
    </r>
    <r>
      <rPr>
        <sz val="10"/>
        <color theme="1"/>
        <rFont val="Arial"/>
        <family val="2"/>
      </rPr>
      <t xml:space="preserve"> </t>
    </r>
    <r>
      <rPr>
        <i/>
        <sz val="10"/>
        <color theme="1"/>
        <rFont val="Arial"/>
        <family val="2"/>
      </rPr>
      <t>(Check all that apply)</t>
    </r>
  </si>
  <si>
    <t>Targeted Service Area</t>
  </si>
  <si>
    <t>If 'Other', please describe:</t>
  </si>
  <si>
    <t>Project Results</t>
  </si>
  <si>
    <t>Describe how the project's results will be measured/evaluated:</t>
  </si>
  <si>
    <t>If 'Other At-Risk Populations', please describe:</t>
  </si>
  <si>
    <t>AHEAD funds must be used within 18 months of the effective date of the AHEAD Program Agreement, after which the funds may be subject to cancellation or repayment.</t>
  </si>
  <si>
    <t>If awarded, will the AHEAD funds be used within 18 months of the effective award date?</t>
  </si>
  <si>
    <t>Member's Financial Involvement in the Project</t>
  </si>
  <si>
    <t>Check all that apply; if none are selected, the Member certifies that it has no other financial involvement in the project.</t>
  </si>
  <si>
    <t>Grant Amount</t>
  </si>
  <si>
    <t>Loan Amount</t>
  </si>
  <si>
    <t>Member's Non-Financial Involvement in the Project</t>
  </si>
  <si>
    <t>Describe Member's involvement:</t>
  </si>
  <si>
    <t>Source</t>
  </si>
  <si>
    <t>Amount</t>
  </si>
  <si>
    <t>Committed?</t>
  </si>
  <si>
    <t>Are other organizations materially involved with this project?</t>
  </si>
  <si>
    <t>If Yes, please list the organizations and how they are involved:</t>
  </si>
  <si>
    <t>Involvement</t>
  </si>
  <si>
    <t>Organization</t>
  </si>
  <si>
    <t>APPLICATION_BUDGET_CERT_FLG</t>
  </si>
  <si>
    <t>Application Budget - Certification Complete Flag</t>
  </si>
  <si>
    <t>#NA</t>
  </si>
  <si>
    <t>APPLICATION BUDGET</t>
  </si>
  <si>
    <t>Added to have status in Application Budget section</t>
  </si>
  <si>
    <t>APPLICATION_BUDGET_VALUES_BALANCE_FLG</t>
  </si>
  <si>
    <t>Application Budget - Values Balance (All Applicable Verified)</t>
  </si>
  <si>
    <t>Checks if budget worksheet balances (drives warning message in app)</t>
  </si>
  <si>
    <t>Please check the following box once the Application Budget worksheet has been completed:</t>
  </si>
  <si>
    <t>Uses of Funds</t>
  </si>
  <si>
    <t>Instructions:</t>
  </si>
  <si>
    <t>Project Budget
(Application) Column</t>
  </si>
  <si>
    <t>Other Sources (Anticipated) Column</t>
  </si>
  <si>
    <t>Other Sources (Committed) Column</t>
  </si>
  <si>
    <t>Must = 0 Column</t>
  </si>
  <si>
    <t>This column will calculate the total for each budget line item and should equal $0 for each budget line item.</t>
  </si>
  <si>
    <t>Enter project expenses that will be funded with Other Sources listed above.  This column should total no more than the Anticipated and Committed Sources listed above. The Excess/Deficiency cell at the bottom of this column must total $0 once all line items have been input.</t>
  </si>
  <si>
    <t>Application Form Input Field Legend</t>
  </si>
  <si>
    <t>Section</t>
  </si>
  <si>
    <t>Progress</t>
  </si>
  <si>
    <t>APP_INSTRUCTIONS_TITLE</t>
  </si>
  <si>
    <t>Application Instructions Title</t>
  </si>
  <si>
    <t>APP_INSTRUCTIONS_BODY</t>
  </si>
  <si>
    <t>Application Instructions Body</t>
  </si>
  <si>
    <t>Application Instructions - Title</t>
  </si>
  <si>
    <t>Application Instructions - Body</t>
  </si>
  <si>
    <r>
      <t xml:space="preserve">BUDGET BALANCE LOGIC CHECKS: </t>
    </r>
    <r>
      <rPr>
        <sz val="9"/>
        <rFont val="Arial"/>
        <family val="2"/>
      </rPr>
      <t>DO NOT MODIFY CONTENT IN THIS TABLE; TABLE MUST BE HIDDEN BEFORE DEPLOYMENT</t>
    </r>
  </si>
  <si>
    <t>SOURCE_OF_FUNDS_BALANCE_FLAG</t>
  </si>
  <si>
    <t>USE_OF_FUNDS_BALANCE_FLAG</t>
  </si>
  <si>
    <t>EXCESS_DEFICIENCY_BALANCE_FLAG</t>
  </si>
  <si>
    <t>Describe the Sponsor’s core mission, management structure, and accomplishments:</t>
  </si>
  <si>
    <t>Describe the proposed project, its impacts on and benefits to the communities it serves, and its goals:</t>
  </si>
  <si>
    <t>LEVERAGE_AMT</t>
  </si>
  <si>
    <t>Application Budget - Leverage (Calculated)(Hidden)</t>
  </si>
  <si>
    <t>2018 Field Addition</t>
  </si>
  <si>
    <t>Unique individuals currently served by the Sponsor for this project</t>
  </si>
  <si>
    <t>New unique individuals who will be served by the Sponsor for this project with an AHEAD grant</t>
  </si>
  <si>
    <t>Entrepreneurs or small/microbusinesses currently being served by the Sponsor for this project</t>
  </si>
  <si>
    <t>New entrepreneurs or small/microbusinesses that will be served by the Sponsor for this project with an AHEAD grant</t>
  </si>
  <si>
    <t>Unique individuals currently enrolled in financial education program(s) by the Sponsor for this project</t>
  </si>
  <si>
    <t>New unique individuals who will be enrolled in financial education program(s) by the Sponsor for this
project with an AHEAD grant</t>
  </si>
  <si>
    <t>Part-time or Full-time employees working for organizations supported by the Sponsor for this project</t>
  </si>
  <si>
    <t>New Part-time or Full-time employees who will work for organizations supported by the Sponsor for this project with an AHEAD grant</t>
  </si>
  <si>
    <t>Individuals currently receiving individual or group TA by the Sponsor for this project</t>
  </si>
  <si>
    <t>New individuals who will receive individual or group TA by the Sponsor with an AHEAD grant</t>
  </si>
  <si>
    <t>TB_FORMERLY_INCAR_FLG</t>
  </si>
  <si>
    <t>TB_DISASTER_VICTIMS_FLG</t>
  </si>
  <si>
    <t>TB_DISABILITIES_FLG</t>
  </si>
  <si>
    <t>Project Summary - Targeted Beneficiaries - Disaster Victims Flag</t>
  </si>
  <si>
    <t>Project Summary - Targeted Beneficiaries - Formerly Incarcerated Flag</t>
  </si>
  <si>
    <t>Project Summary - Targeted Beneficiaries - Persons with Disabilities Flag</t>
  </si>
  <si>
    <t>#NEW2019</t>
  </si>
  <si>
    <t>TBD</t>
  </si>
  <si>
    <t>2019 ADD</t>
  </si>
  <si>
    <t>APPLICABLE_EFORM_LIST</t>
  </si>
  <si>
    <t>EFORM_TYPE_CODE</t>
  </si>
  <si>
    <t>AHEAD</t>
  </si>
  <si>
    <t>eForm Type Code</t>
  </si>
  <si>
    <t>SUBSIDY_DR_MIN</t>
  </si>
  <si>
    <t>Subsidy Min - AHEAD DR</t>
  </si>
  <si>
    <t>SUBSIDY_DR_MAX</t>
  </si>
  <si>
    <t>Subsidy Max - AHEAD DR</t>
  </si>
  <si>
    <t>$DB.LOOKUP.RANGE_LOOKUP_EFORMTYPE</t>
  </si>
  <si>
    <t>DR0</t>
  </si>
  <si>
    <t>DR1</t>
  </si>
  <si>
    <t>DR2</t>
  </si>
  <si>
    <t xml:space="preserve">Economic Development District </t>
  </si>
  <si>
    <t>Local Government/Municipality</t>
  </si>
  <si>
    <t>Tribal Association</t>
  </si>
  <si>
    <t>FEMA_DESIGNATION</t>
  </si>
  <si>
    <t>FEMA_INCIDENT_ID</t>
  </si>
  <si>
    <t>Project Summary - FEMA Designation</t>
  </si>
  <si>
    <t>Project Summary - FEMA Incident ID</t>
  </si>
  <si>
    <t>CHAR(50 BYTE)</t>
  </si>
  <si>
    <t>AHDR</t>
  </si>
  <si>
    <t>AHEAD,AHDR</t>
  </si>
  <si>
    <t>$DB.LOOKUP.RANGE_LOOKUP_FEMADESIGNATION</t>
  </si>
  <si>
    <t>Emergency Declaration</t>
  </si>
  <si>
    <t>Major Disaster Declaration</t>
  </si>
  <si>
    <t>The Application Budget worksheet must also be completed as part of this application.  Please use the following link to access and complete the Application Budget worksheet:</t>
  </si>
  <si>
    <t>AHEAD DR OPTION REMOVED IN 2020</t>
  </si>
  <si>
    <t>AHEAD DR PROGRAM REMOVED - 2020</t>
  </si>
  <si>
    <t>2020 ADD</t>
  </si>
  <si>
    <t>#NEW 2020</t>
  </si>
  <si>
    <t>IMPACT_PANDEMIC_EXPLANATION</t>
  </si>
  <si>
    <t>Project Summary - Pandemic Relief Impact Explanation</t>
  </si>
  <si>
    <t>IMPACT_PANDEMIC_SERVED_ORG_NO</t>
  </si>
  <si>
    <t>IMPACT_PANDEMIC_NEW_SERVED_ORG_NO</t>
  </si>
  <si>
    <t>Project Summary - Impact - Individuals or Small Buss. Served by Sponsor</t>
  </si>
  <si>
    <t>Project Summary - Impact - New Individuals or Small Buss. Served by Sponsor with Grant</t>
  </si>
  <si>
    <t>Project Summary - Targeted Beneficiaries - Native Americans</t>
  </si>
  <si>
    <t>TB_NATIVE_AMERICANS_FLG</t>
  </si>
  <si>
    <t>FHLBSF_FINANCING_ACE_FLG</t>
  </si>
  <si>
    <t>FHLBSF_FINANCING_CIP_FLG</t>
  </si>
  <si>
    <t>FHLBSF_FINANCING_QJF_FLG</t>
  </si>
  <si>
    <t>FHLBSF_FINANCING_DESCRIPTION</t>
  </si>
  <si>
    <t>FHLBSF_FINANCING_AHP_FLG</t>
  </si>
  <si>
    <t>Project Financing through FHLBSF ACE Program</t>
  </si>
  <si>
    <t>Project Financing through FHLBSF CIP Program</t>
  </si>
  <si>
    <t>Project Financing through FHLBSF QJF Program</t>
  </si>
  <si>
    <t>Project Financing through FHLBSF Description</t>
  </si>
  <si>
    <t>Project Financing through FHLBSF AHP Program</t>
  </si>
  <si>
    <t>#NEW2020</t>
  </si>
  <si>
    <t>Other FHLBank San Francisco Programs</t>
  </si>
  <si>
    <t xml:space="preserve">Is the project using financing through the FHLBank San Francisco Advances for Community Enterprise (ACE) discounted credit program? </t>
  </si>
  <si>
    <t>Is the project using financing through the FHLBank San Francisco Affordable Housing Program (AHP)?</t>
  </si>
  <si>
    <t xml:space="preserve">Is the project using financing through the FHLBank San Francisco Community Investment Program (CIP) discounted credit program? </t>
  </si>
  <si>
    <t xml:space="preserve">If yes to any of the questions above, please specify the program and provide details, such as award number or name, </t>
  </si>
  <si>
    <t>advance or letter of credit number, etc.</t>
  </si>
  <si>
    <t>5.0.0</t>
  </si>
  <si>
    <t>If Yes, provide the year of award, project name, and amount of the previously awarded AHEAD grant(s):</t>
  </si>
  <si>
    <t>Year of Award</t>
  </si>
  <si>
    <t>AHEAD Grant - Previous Year Grant - Year - 1</t>
  </si>
  <si>
    <t>AHEAD Grant - Previous Year Grant - Year - 2</t>
  </si>
  <si>
    <t>AHEAD Grant - Previous Year Grant - Year - 3</t>
  </si>
  <si>
    <t>AHEAD Grant - Previous Year Grant - Year - 4</t>
  </si>
  <si>
    <t>AHEAD Grant - Previous Year Grant - Year - 5</t>
  </si>
  <si>
    <t>PRIOR_AWARD_YEAR_1</t>
  </si>
  <si>
    <t>PRIOR_AWARD_YEAR_2</t>
  </si>
  <si>
    <t>PRIOR_AWARD_YEAR_3</t>
  </si>
  <si>
    <t>PRIOR_AWARD_YEAR_4</t>
  </si>
  <si>
    <t>PRIOR_AWARD_YEAR_5</t>
  </si>
  <si>
    <t>2020 ADD, REMOVED IN 2021</t>
  </si>
  <si>
    <t>TB_BIPOC_FLG</t>
  </si>
  <si>
    <t>TB_UNHOUSED_FLG</t>
  </si>
  <si>
    <t>Project Summary - Targeted Beneficiaries - BIPOC</t>
  </si>
  <si>
    <t>Project Summary - Targeted Beneficiaries - LGBTQ+</t>
  </si>
  <si>
    <t>Project Summary - Targeted Beneficiaries - Unhoused</t>
  </si>
  <si>
    <t>TB_LGBTQ_FLG</t>
  </si>
  <si>
    <t>#NEW 2021</t>
  </si>
  <si>
    <t>2021 ADD</t>
  </si>
  <si>
    <t>REMOVED IN 2021</t>
  </si>
  <si>
    <t xml:space="preserve">Briefly describe how the AHEAD grant will be used during the grant period. Description below should include items identified </t>
  </si>
  <si>
    <t>on the budget to be partially or fully funded from the requested AHEAD grant:</t>
  </si>
  <si>
    <t>Identify other funding sources that are committed or anticipated to provide support of the project:</t>
  </si>
  <si>
    <t>Sources of Funds</t>
  </si>
  <si>
    <t>Enter individual $ amount of budget line items for each source of additional funding. The Project Budget (Application) should be for the entire project, not just the AHEAD grant request. If the AHEAD grant request is the same as the total project budget, that is acceptable. Use the Other line item(s) for other sources of funds that aren't listed on the budget. If using Other line item(s), enter a descriptor under the Project Income/Sources of Funds column to describe the source of funds.</t>
  </si>
  <si>
    <t>Enter anticipated $ amount of each individual budget line item filled out in the Project Budget (Application) column.  Only enter $ amount(s) in this column if the funding source hasn't been committed at time of application.</t>
  </si>
  <si>
    <t>Enter committed $ amount of each individual budget line item filled out in the Project Budget (Application) column.  Only enter $ amount(s) in this column if the funding source HAS been committed at time of application.</t>
  </si>
  <si>
    <t>Enter total project expenses for each expense line item.  This column should be used for the entire project costs, not just the AHEAD grant, unless the AHEAD grant is the only source of funding.  Use the Other line item(s) for other uses of funds that aren't listed on the budget. If using Other line item(s), enter a descriptor under the Project Expenses/Uses of Funds column to describe the use of funds.</t>
  </si>
  <si>
    <t>Enter project expenses that will be funded with AHEAD.  This column should total no more than the AHEAD grant amount requested listed above. The Excess/Deficiency cell at the bottom of this column must total $0 once all line items have been input.</t>
  </si>
  <si>
    <t>Other Sources Column</t>
  </si>
  <si>
    <t>AHEAD 
(Requested) Column</t>
  </si>
  <si>
    <t>Nonprofit Organization</t>
  </si>
  <si>
    <t>Application Deadline: 5:00 p.m. PDT, Wednesday, May 27, 2026</t>
  </si>
  <si>
    <t>The application and budget, including all attachments, must be submitted by Members to the Bank via the secure portal no later than 5:00 p.m. PDT on Wednesday May 27, 2026. Failure to submit the application and all of the attachments by the application deadline will result in the application being deemed ineligible.
For more information regarding the preparation or submission of an AHEAD application, see the AHEAD Reference Guide at fhlbsf.com, contact the Community Investment Department at (415) 616-2542, or email ahead@fhlbsf.com.</t>
  </si>
  <si>
    <t>REMOVED 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</si>
</sst>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0000"/>
    <numFmt numFmtId="165" formatCode="00000"/>
    <numFmt numFmtId="166" formatCode="0000"/>
    <numFmt numFmtId="167" formatCode="000"/>
    <numFmt numFmtId="168" formatCode="&quot;$&quot;#,##0.00"/>
    <numFmt numFmtId="169" formatCode="m/d/yyyy;@"/>
    <numFmt numFmtId="170" formatCode="0.0%"/>
  </numFmts>
  <fonts count="52" x14ac:knownFonts="1">
    <font>
      <sz val="11"/>
      <color theme="1"/>
      <name val="Calibri"/>
      <family val="2"/>
      <scheme val="minor"/>
    </font>
    <font>
      <sz val="11"/>
      <color theme="1"/>
      <name val="Calibri"/>
      <family val="2"/>
      <scheme val="minor"/>
    </font>
    <font>
      <sz val="10"/>
      <color theme="1"/>
      <name val="Calibri"/>
      <family val="2"/>
      <scheme val="minor"/>
    </font>
    <font>
      <sz val="9"/>
      <color indexed="81"/>
      <name val="Tahoma"/>
      <family val="2"/>
    </font>
    <font>
      <b/>
      <sz val="9"/>
      <color indexed="81"/>
      <name val="Tahoma"/>
      <family val="2"/>
    </font>
    <font>
      <b/>
      <sz val="10"/>
      <color theme="1"/>
      <name val="Calibri"/>
      <family val="2"/>
      <scheme val="minor"/>
    </font>
    <font>
      <i/>
      <sz val="10"/>
      <color theme="1"/>
      <name val="Calibri"/>
      <family val="2"/>
      <scheme val="minor"/>
    </font>
    <font>
      <u/>
      <sz val="11"/>
      <color theme="10"/>
      <name val="Calibri"/>
      <family val="2"/>
    </font>
    <font>
      <b/>
      <sz val="10"/>
      <color theme="0"/>
      <name val="Calibri"/>
      <family val="2"/>
      <scheme val="minor"/>
    </font>
    <font>
      <sz val="10"/>
      <color theme="1"/>
      <name val="Calibri"/>
      <family val="2"/>
      <scheme val="minor"/>
    </font>
    <font>
      <b/>
      <sz val="11"/>
      <color theme="0"/>
      <name val="Calibri"/>
      <family val="2"/>
      <scheme val="minor"/>
    </font>
    <font>
      <sz val="10"/>
      <color theme="1"/>
      <name val="Calibri"/>
      <family val="2"/>
      <scheme val="minor"/>
    </font>
    <font>
      <sz val="10"/>
      <name val="Arial"/>
      <family val="2"/>
    </font>
    <font>
      <sz val="10"/>
      <color theme="1"/>
      <name val="Calibri"/>
      <family val="2"/>
      <scheme val="minor"/>
    </font>
    <font>
      <sz val="11"/>
      <color theme="1"/>
      <name val="Arial"/>
      <family val="2"/>
    </font>
    <font>
      <i/>
      <sz val="9"/>
      <color theme="1"/>
      <name val="Arial"/>
      <family val="2"/>
    </font>
    <font>
      <b/>
      <sz val="11"/>
      <color theme="0"/>
      <name val="Arial"/>
      <family val="2"/>
    </font>
    <font>
      <sz val="11"/>
      <name val="Arial"/>
      <family val="2"/>
    </font>
    <font>
      <sz val="9"/>
      <color theme="1"/>
      <name val="Arial"/>
      <family val="2"/>
    </font>
    <font>
      <b/>
      <sz val="9"/>
      <name val="Arial"/>
      <family val="2"/>
    </font>
    <font>
      <sz val="10"/>
      <color theme="1"/>
      <name val="Arial"/>
      <family val="2"/>
    </font>
    <font>
      <b/>
      <sz val="10"/>
      <name val="Arial"/>
      <family val="2"/>
    </font>
    <font>
      <b/>
      <sz val="10"/>
      <color theme="1"/>
      <name val="Arial"/>
      <family val="2"/>
    </font>
    <font>
      <b/>
      <sz val="9"/>
      <color theme="1"/>
      <name val="Arial"/>
      <family val="2"/>
    </font>
    <font>
      <sz val="8"/>
      <color theme="1"/>
      <name val="Arial"/>
      <family val="2"/>
    </font>
    <font>
      <b/>
      <sz val="11"/>
      <color theme="1"/>
      <name val="Arial"/>
      <family val="2"/>
    </font>
    <font>
      <b/>
      <sz val="12"/>
      <color theme="1"/>
      <name val="Arial"/>
      <family val="2"/>
    </font>
    <font>
      <b/>
      <i/>
      <sz val="9"/>
      <color theme="1"/>
      <name val="Arial"/>
      <family val="2"/>
    </font>
    <font>
      <i/>
      <sz val="10"/>
      <color theme="1"/>
      <name val="Arial"/>
      <family val="2"/>
    </font>
    <font>
      <sz val="9"/>
      <name val="Arial"/>
      <family val="2"/>
    </font>
    <font>
      <b/>
      <u/>
      <sz val="10"/>
      <color theme="1"/>
      <name val="Arial"/>
      <family val="2"/>
    </font>
    <font>
      <b/>
      <sz val="9"/>
      <color rgb="FFFF0000"/>
      <name val="Arial"/>
      <family val="2"/>
    </font>
    <font>
      <b/>
      <u/>
      <sz val="9"/>
      <color theme="4" tint="-0.249977111117893"/>
      <name val="Arial"/>
      <family val="2"/>
    </font>
    <font>
      <b/>
      <sz val="8"/>
      <color theme="1"/>
      <name val="Arial"/>
      <family val="2"/>
    </font>
    <font>
      <b/>
      <sz val="8"/>
      <name val="Arial"/>
      <family val="2"/>
    </font>
    <font>
      <i/>
      <sz val="8"/>
      <color theme="1"/>
      <name val="Arial"/>
      <family val="2"/>
    </font>
    <font>
      <sz val="8"/>
      <name val="Arial"/>
      <family val="2"/>
    </font>
    <font>
      <i/>
      <sz val="10"/>
      <color theme="0"/>
      <name val="Arial"/>
      <family val="2"/>
    </font>
    <font>
      <sz val="10"/>
      <color rgb="FFFF0000"/>
      <name val="Arial"/>
      <family val="2"/>
    </font>
    <font>
      <b/>
      <i/>
      <sz val="8"/>
      <name val="Arial"/>
      <family val="2"/>
    </font>
    <font>
      <b/>
      <i/>
      <sz val="8"/>
      <color theme="1"/>
      <name val="Arial"/>
      <family val="2"/>
    </font>
    <font>
      <b/>
      <u/>
      <sz val="8"/>
      <color theme="4" tint="-0.249977111117893"/>
      <name val="Arial"/>
      <family val="2"/>
    </font>
    <font>
      <b/>
      <sz val="12"/>
      <name val="Arial"/>
      <family val="2"/>
    </font>
    <font>
      <b/>
      <sz val="10"/>
      <color indexed="8"/>
      <name val="Arial"/>
      <family val="2"/>
    </font>
    <font>
      <sz val="10"/>
      <color theme="0"/>
      <name val="Calibri"/>
      <family val="2"/>
      <scheme val="minor"/>
    </font>
    <font>
      <sz val="10"/>
      <color theme="1"/>
      <name val="Calibri"/>
      <family val="2"/>
      <scheme val="minor"/>
    </font>
    <font>
      <u/>
      <sz val="10"/>
      <name val="Arial"/>
      <family val="2"/>
    </font>
    <font>
      <u/>
      <sz val="10"/>
      <color theme="1"/>
      <name val="Arial"/>
      <family val="2"/>
    </font>
    <font>
      <sz val="11"/>
      <color theme="0"/>
      <name val="Arial"/>
      <family val="2"/>
    </font>
    <font>
      <sz val="10"/>
      <color theme="1"/>
      <name val="Calibri"/>
      <family val="2"/>
      <scheme val="minor"/>
    </font>
    <font>
      <sz val="10"/>
      <color theme="0"/>
      <name val="Arial"/>
      <family val="2"/>
    </font>
    <font>
      <sz val="8"/>
      <color rgb="FF000000"/>
      <name val="Tahoma"/>
      <family val="2"/>
    </font>
  </fonts>
  <fills count="22">
    <fill>
      <patternFill patternType="none"/>
    </fill>
    <fill>
      <patternFill patternType="gray125"/>
    </fill>
    <fill>
      <patternFill patternType="solid">
        <fgColor rgb="FFFFFFCC"/>
        <bgColor indexed="64"/>
      </patternFill>
    </fill>
    <fill>
      <patternFill patternType="solid">
        <fgColor theme="5"/>
        <bgColor theme="5"/>
      </patternFill>
    </fill>
    <fill>
      <patternFill patternType="solid">
        <fgColor theme="5" tint="0.59999389629810485"/>
        <bgColor theme="5" tint="0.59999389629810485"/>
      </patternFill>
    </fill>
    <fill>
      <patternFill patternType="solid">
        <fgColor theme="5" tint="0.79998168889431442"/>
        <bgColor theme="5" tint="0.79998168889431442"/>
      </patternFill>
    </fill>
    <fill>
      <patternFill patternType="solid">
        <fgColor theme="4" tint="0.79998168889431442"/>
        <bgColor indexed="64"/>
      </patternFill>
    </fill>
    <fill>
      <patternFill patternType="solid">
        <fgColor theme="0"/>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499984740745262"/>
        <bgColor indexed="64"/>
      </patternFill>
    </fill>
    <fill>
      <patternFill patternType="lightUp">
        <fgColor theme="0" tint="-0.24994659260841701"/>
        <bgColor theme="0" tint="-0.14996795556505021"/>
      </patternFill>
    </fill>
    <fill>
      <patternFill patternType="solid">
        <fgColor rgb="FFFFFF00"/>
        <bgColor indexed="64"/>
      </patternFill>
    </fill>
    <fill>
      <patternFill patternType="solid">
        <fgColor theme="5" tint="-0.249977111117893"/>
        <bgColor indexed="64"/>
      </patternFill>
    </fill>
    <fill>
      <patternFill patternType="solid">
        <fgColor theme="6" tint="0.79998168889431442"/>
        <bgColor indexed="64"/>
      </patternFill>
    </fill>
    <fill>
      <patternFill patternType="solid">
        <fgColor rgb="FF9CACB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thick">
        <color theme="0"/>
      </bottom>
      <diagonal/>
    </border>
    <border>
      <left/>
      <right/>
      <top/>
      <bottom style="thin">
        <color theme="0"/>
      </bottom>
      <diagonal/>
    </border>
    <border>
      <left/>
      <right/>
      <top/>
      <bottom style="thin">
        <color theme="9" tint="0.39997558519241921"/>
      </bottom>
      <diagonal/>
    </border>
    <border>
      <left/>
      <right/>
      <top style="thin">
        <color indexed="64"/>
      </top>
      <bottom/>
      <diagonal/>
    </border>
    <border>
      <left/>
      <right style="thin">
        <color theme="0"/>
      </right>
      <top/>
      <bottom style="thick">
        <color theme="0"/>
      </bottom>
      <diagonal/>
    </border>
    <border>
      <left/>
      <right style="thin">
        <color theme="0"/>
      </right>
      <top/>
      <bottom style="thin">
        <color theme="0"/>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medium">
        <color indexed="64"/>
      </bottom>
      <diagonal/>
    </border>
    <border>
      <left/>
      <right/>
      <top/>
      <bottom style="medium">
        <color rgb="FF00305E"/>
      </bottom>
      <diagonal/>
    </border>
    <border>
      <left/>
      <right/>
      <top/>
      <bottom style="thin">
        <color rgb="FF00305E"/>
      </bottom>
      <diagonal/>
    </border>
    <border>
      <left style="thin">
        <color rgb="FF00305E"/>
      </left>
      <right style="thin">
        <color rgb="FF00305E"/>
      </right>
      <top style="thin">
        <color rgb="FF00305E"/>
      </top>
      <bottom style="thin">
        <color rgb="FF00305E"/>
      </bottom>
      <diagonal/>
    </border>
    <border>
      <left/>
      <right style="thin">
        <color theme="0"/>
      </right>
      <top/>
      <bottom/>
      <diagonal/>
    </border>
    <border>
      <left/>
      <right style="thin">
        <color theme="0"/>
      </right>
      <top style="thin">
        <color theme="0"/>
      </top>
      <bottom style="thin">
        <color theme="0"/>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305E"/>
      </left>
      <right/>
      <top style="thin">
        <color rgb="FF00305E"/>
      </top>
      <bottom style="thin">
        <color rgb="FF00305E"/>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double">
        <color indexed="64"/>
      </right>
      <top/>
      <bottom style="thin">
        <color indexed="64"/>
      </bottom>
      <diagonal/>
    </border>
    <border>
      <left/>
      <right/>
      <top style="medium">
        <color indexed="64"/>
      </top>
      <bottom/>
      <diagonal/>
    </border>
  </borders>
  <cellStyleXfs count="8">
    <xf numFmtId="0" fontId="0" fillId="0" borderId="0"/>
    <xf numFmtId="44" fontId="1" fillId="0" borderId="0" applyFont="0" applyFill="0" applyBorder="0" applyAlignment="0" applyProtection="0"/>
    <xf numFmtId="0" fontId="7" fillId="0" borderId="0" applyNumberFormat="0" applyFill="0" applyBorder="0" applyAlignment="0" applyProtection="0">
      <alignment vertical="top"/>
      <protection locked="0"/>
    </xf>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cellStyleXfs>
  <cellXfs count="486">
    <xf numFmtId="0" fontId="0" fillId="0" borderId="0" xfId="0"/>
    <xf numFmtId="0" fontId="2" fillId="0" borderId="0" xfId="0" applyFont="1"/>
    <xf numFmtId="0" fontId="2" fillId="0" borderId="0" xfId="0" applyFont="1" applyAlignment="1">
      <alignment horizontal="left"/>
    </xf>
    <xf numFmtId="0" fontId="5" fillId="0" borderId="0" xfId="0" applyFont="1"/>
    <xf numFmtId="0" fontId="2" fillId="0" borderId="0" xfId="0" applyFont="1" applyBorder="1"/>
    <xf numFmtId="0" fontId="6" fillId="0" borderId="0" xfId="0" applyFont="1"/>
    <xf numFmtId="0" fontId="2" fillId="0" borderId="0" xfId="0" applyFont="1" applyBorder="1" applyAlignment="1">
      <alignment horizontal="left"/>
    </xf>
    <xf numFmtId="0" fontId="2" fillId="0" borderId="0" xfId="0" applyNumberFormat="1" applyFont="1"/>
    <xf numFmtId="0" fontId="2" fillId="0" borderId="0" xfId="0" applyNumberFormat="1" applyFont="1" applyBorder="1"/>
    <xf numFmtId="0" fontId="5" fillId="0" borderId="0" xfId="0" applyFont="1" applyAlignment="1">
      <alignment horizontal="left"/>
    </xf>
    <xf numFmtId="0" fontId="2" fillId="0" borderId="0" xfId="0" applyNumberFormat="1" applyFont="1" applyAlignment="1">
      <alignment horizontal="left"/>
    </xf>
    <xf numFmtId="14" fontId="2" fillId="0" borderId="0" xfId="0" applyNumberFormat="1" applyFont="1" applyBorder="1" applyAlignment="1">
      <alignment horizontal="left"/>
    </xf>
    <xf numFmtId="0" fontId="2" fillId="0" borderId="0" xfId="0" applyNumberFormat="1" applyFont="1" applyBorder="1" applyAlignment="1">
      <alignment horizontal="left"/>
    </xf>
    <xf numFmtId="0" fontId="6" fillId="0" borderId="0" xfId="0" quotePrefix="1" applyFont="1" applyAlignment="1">
      <alignment horizontal="center"/>
    </xf>
    <xf numFmtId="164" fontId="2" fillId="0" borderId="0" xfId="0" applyNumberFormat="1" applyFont="1"/>
    <xf numFmtId="0" fontId="8" fillId="3" borderId="6" xfId="0" applyFont="1" applyFill="1" applyBorder="1"/>
    <xf numFmtId="0" fontId="9" fillId="0" borderId="0" xfId="0" applyFont="1"/>
    <xf numFmtId="0" fontId="9" fillId="0" borderId="0" xfId="0" applyNumberFormat="1" applyFont="1"/>
    <xf numFmtId="0" fontId="9" fillId="0" borderId="0" xfId="0" applyFont="1" applyAlignment="1">
      <alignment horizontal="left"/>
    </xf>
    <xf numFmtId="0" fontId="9" fillId="0" borderId="0" xfId="0" applyNumberFormat="1" applyFont="1" applyAlignment="1">
      <alignment horizontal="left"/>
    </xf>
    <xf numFmtId="0" fontId="9" fillId="0" borderId="0" xfId="0" applyFont="1" applyBorder="1"/>
    <xf numFmtId="0" fontId="9" fillId="0" borderId="0" xfId="0" applyFont="1" applyBorder="1" applyAlignment="1">
      <alignment horizontal="left"/>
    </xf>
    <xf numFmtId="0" fontId="9" fillId="0" borderId="0" xfId="0" applyNumberFormat="1" applyFont="1" applyBorder="1"/>
    <xf numFmtId="0" fontId="9" fillId="0" borderId="0" xfId="0" applyNumberFormat="1" applyFont="1" applyBorder="1" applyAlignment="1">
      <alignment horizontal="left"/>
    </xf>
    <xf numFmtId="0" fontId="2" fillId="0" borderId="0" xfId="0" applyFont="1" applyAlignment="1">
      <alignment horizontal="center"/>
    </xf>
    <xf numFmtId="0" fontId="9" fillId="0" borderId="0" xfId="0" applyFont="1" applyAlignment="1">
      <alignment horizontal="center"/>
    </xf>
    <xf numFmtId="0" fontId="2" fillId="0" borderId="0" xfId="0" applyFont="1" applyBorder="1" applyAlignment="1">
      <alignment horizontal="center"/>
    </xf>
    <xf numFmtId="0" fontId="9" fillId="0" borderId="0" xfId="0" applyFont="1" applyBorder="1" applyAlignment="1">
      <alignment horizontal="center"/>
    </xf>
    <xf numFmtId="44" fontId="2" fillId="0" borderId="0" xfId="0" applyNumberFormat="1" applyFont="1" applyBorder="1" applyAlignment="1">
      <alignment horizontal="left"/>
    </xf>
    <xf numFmtId="0" fontId="2" fillId="8" borderId="0" xfId="0" applyFont="1" applyFill="1"/>
    <xf numFmtId="0" fontId="2" fillId="9" borderId="0" xfId="0" applyNumberFormat="1" applyFont="1" applyFill="1" applyBorder="1" applyAlignment="1">
      <alignment horizontal="left"/>
    </xf>
    <xf numFmtId="0" fontId="10" fillId="10" borderId="8" xfId="0" applyFont="1" applyFill="1" applyBorder="1"/>
    <xf numFmtId="0" fontId="0" fillId="11" borderId="0" xfId="0" applyFont="1" applyFill="1" applyBorder="1"/>
    <xf numFmtId="0" fontId="2" fillId="0" borderId="0" xfId="0" applyFont="1" applyFill="1" applyBorder="1"/>
    <xf numFmtId="0" fontId="2" fillId="0" borderId="0" xfId="0" applyNumberFormat="1" applyFont="1" applyFill="1" applyBorder="1" applyAlignment="1">
      <alignment horizontal="left"/>
    </xf>
    <xf numFmtId="0" fontId="2" fillId="0" borderId="0" xfId="0" applyNumberFormat="1" applyFont="1" applyFill="1" applyBorder="1"/>
    <xf numFmtId="0" fontId="11" fillId="0" borderId="0" xfId="0" applyFont="1" applyAlignment="1">
      <alignment horizontal="center"/>
    </xf>
    <xf numFmtId="0" fontId="8" fillId="3" borderId="10" xfId="0" applyFont="1" applyFill="1" applyBorder="1"/>
    <xf numFmtId="0" fontId="2" fillId="4" borderId="11" xfId="0" applyFont="1" applyFill="1" applyBorder="1"/>
    <xf numFmtId="0" fontId="2" fillId="5" borderId="11" xfId="0" applyFont="1" applyFill="1" applyBorder="1"/>
    <xf numFmtId="0" fontId="2" fillId="4" borderId="11" xfId="0" applyFont="1" applyFill="1" applyBorder="1" applyAlignment="1">
      <alignment horizontal="center"/>
    </xf>
    <xf numFmtId="0" fontId="2" fillId="5" borderId="11" xfId="0" applyFont="1" applyFill="1" applyBorder="1" applyAlignment="1">
      <alignment horizontal="center"/>
    </xf>
    <xf numFmtId="0" fontId="2" fillId="9" borderId="0" xfId="0" applyFont="1" applyFill="1" applyBorder="1" applyAlignment="1">
      <alignment horizontal="center"/>
    </xf>
    <xf numFmtId="0" fontId="9" fillId="9" borderId="0" xfId="0" applyNumberFormat="1" applyFont="1" applyFill="1" applyBorder="1" applyAlignment="1">
      <alignment horizontal="left"/>
    </xf>
    <xf numFmtId="0" fontId="2" fillId="9" borderId="0" xfId="0" applyNumberFormat="1" applyFont="1" applyFill="1" applyAlignment="1">
      <alignment horizontal="left"/>
    </xf>
    <xf numFmtId="0" fontId="2" fillId="4" borderId="7" xfId="0" applyFont="1" applyFill="1" applyBorder="1"/>
    <xf numFmtId="0" fontId="2" fillId="5" borderId="7" xfId="0" applyFont="1" applyFill="1" applyBorder="1"/>
    <xf numFmtId="0" fontId="2" fillId="5" borderId="22" xfId="0" applyFont="1" applyFill="1" applyBorder="1"/>
    <xf numFmtId="0" fontId="2" fillId="5" borderId="0" xfId="0" applyFont="1" applyFill="1"/>
    <xf numFmtId="0" fontId="2" fillId="4" borderId="0" xfId="0" applyFont="1" applyFill="1"/>
    <xf numFmtId="44" fontId="2" fillId="9" borderId="0" xfId="0" applyNumberFormat="1" applyFont="1" applyFill="1" applyBorder="1"/>
    <xf numFmtId="0" fontId="2" fillId="4" borderId="23" xfId="0" applyFont="1" applyFill="1" applyBorder="1"/>
    <xf numFmtId="0" fontId="2" fillId="8" borderId="0" xfId="0" applyFont="1" applyFill="1" applyAlignment="1">
      <alignment horizontal="left"/>
    </xf>
    <xf numFmtId="0" fontId="9" fillId="0" borderId="0" xfId="0" applyFont="1" applyFill="1"/>
    <xf numFmtId="0" fontId="2" fillId="0" borderId="0" xfId="0" applyFont="1" applyFill="1"/>
    <xf numFmtId="0" fontId="2" fillId="0" borderId="18" xfId="0" applyFont="1" applyFill="1" applyBorder="1"/>
    <xf numFmtId="0" fontId="9" fillId="0" borderId="0" xfId="0" applyFont="1" applyFill="1" applyBorder="1"/>
    <xf numFmtId="0" fontId="2" fillId="0" borderId="18" xfId="0" applyFont="1" applyBorder="1"/>
    <xf numFmtId="0" fontId="2" fillId="0" borderId="18" xfId="0" applyNumberFormat="1" applyFont="1" applyBorder="1"/>
    <xf numFmtId="0" fontId="9" fillId="0" borderId="18" xfId="0" applyNumberFormat="1" applyFont="1" applyBorder="1"/>
    <xf numFmtId="0" fontId="2" fillId="0" borderId="18" xfId="0" applyFont="1" applyBorder="1" applyAlignment="1">
      <alignment horizontal="center"/>
    </xf>
    <xf numFmtId="0" fontId="2" fillId="0" borderId="18" xfId="0" applyFont="1" applyBorder="1" applyAlignment="1">
      <alignment horizontal="left"/>
    </xf>
    <xf numFmtId="0" fontId="2" fillId="0" borderId="18" xfId="0" applyNumberFormat="1" applyFont="1" applyBorder="1" applyAlignment="1">
      <alignment horizontal="left"/>
    </xf>
    <xf numFmtId="0" fontId="9" fillId="0" borderId="18" xfId="0" applyFont="1" applyBorder="1"/>
    <xf numFmtId="0" fontId="2" fillId="9" borderId="18" xfId="0" applyNumberFormat="1" applyFont="1" applyFill="1" applyBorder="1" applyAlignment="1">
      <alignment horizontal="left"/>
    </xf>
    <xf numFmtId="0" fontId="11" fillId="0" borderId="18" xfId="0" applyFont="1" applyBorder="1" applyAlignment="1">
      <alignment horizontal="center"/>
    </xf>
    <xf numFmtId="0" fontId="9" fillId="0" borderId="18" xfId="0" applyNumberFormat="1" applyFont="1" applyBorder="1" applyAlignment="1">
      <alignment horizontal="left"/>
    </xf>
    <xf numFmtId="0" fontId="9" fillId="0" borderId="18" xfId="0" applyFont="1" applyBorder="1" applyAlignment="1">
      <alignment horizontal="left"/>
    </xf>
    <xf numFmtId="0" fontId="2" fillId="0" borderId="18" xfId="0" applyNumberFormat="1" applyFont="1" applyFill="1" applyBorder="1"/>
    <xf numFmtId="0" fontId="2" fillId="0" borderId="0" xfId="0" applyNumberFormat="1" applyFont="1" applyFill="1"/>
    <xf numFmtId="0" fontId="9" fillId="0" borderId="0" xfId="0" applyNumberFormat="1" applyFont="1" applyFill="1" applyBorder="1"/>
    <xf numFmtId="0" fontId="9" fillId="0" borderId="18" xfId="0" applyNumberFormat="1" applyFont="1" applyFill="1" applyBorder="1"/>
    <xf numFmtId="0" fontId="2" fillId="0" borderId="18" xfId="0" applyNumberFormat="1" applyFont="1" applyFill="1" applyBorder="1" applyAlignment="1">
      <alignment horizontal="left"/>
    </xf>
    <xf numFmtId="0" fontId="2" fillId="9" borderId="0" xfId="0" applyNumberFormat="1" applyFont="1" applyFill="1" applyBorder="1"/>
    <xf numFmtId="0" fontId="2" fillId="9" borderId="18" xfId="0" applyNumberFormat="1" applyFont="1" applyFill="1" applyBorder="1"/>
    <xf numFmtId="0" fontId="9" fillId="9" borderId="0" xfId="0" applyNumberFormat="1" applyFont="1" applyFill="1"/>
    <xf numFmtId="0" fontId="13" fillId="0" borderId="0" xfId="0" applyFont="1" applyBorder="1"/>
    <xf numFmtId="0" fontId="14" fillId="0" borderId="0" xfId="0" applyFont="1" applyFill="1" applyBorder="1" applyProtection="1"/>
    <xf numFmtId="9" fontId="24" fillId="7" borderId="21" xfId="3"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0" fontId="26" fillId="0" borderId="18" xfId="0" applyFont="1" applyFill="1" applyBorder="1" applyAlignment="1" applyProtection="1">
      <alignment vertical="center"/>
    </xf>
    <xf numFmtId="0" fontId="22" fillId="14" borderId="26" xfId="0" applyFont="1" applyFill="1" applyBorder="1" applyAlignment="1" applyProtection="1">
      <alignment vertical="center"/>
    </xf>
    <xf numFmtId="0" fontId="14" fillId="0" borderId="0" xfId="0" applyFont="1" applyFill="1" applyAlignment="1" applyProtection="1">
      <alignment horizontal="center" vertical="center"/>
    </xf>
    <xf numFmtId="0" fontId="14" fillId="0" borderId="0" xfId="0" applyFont="1" applyFill="1" applyProtection="1"/>
    <xf numFmtId="0" fontId="20" fillId="0" borderId="0" xfId="0" applyFont="1" applyFill="1" applyAlignment="1" applyProtection="1">
      <alignment horizontal="center" vertical="center"/>
    </xf>
    <xf numFmtId="0" fontId="23" fillId="6" borderId="0" xfId="0" applyFont="1" applyFill="1" applyBorder="1" applyAlignment="1" applyProtection="1">
      <alignment horizontal="left" vertical="center" indent="1"/>
    </xf>
    <xf numFmtId="0" fontId="23" fillId="6" borderId="0" xfId="0" applyFont="1" applyFill="1" applyBorder="1" applyAlignment="1" applyProtection="1">
      <alignment horizontal="left" vertical="center"/>
    </xf>
    <xf numFmtId="0" fontId="23" fillId="6" borderId="0" xfId="0" applyFont="1" applyFill="1" applyBorder="1" applyAlignment="1" applyProtection="1">
      <alignment horizontal="right" vertical="center"/>
    </xf>
    <xf numFmtId="0" fontId="31" fillId="6" borderId="0" xfId="0" applyFont="1" applyFill="1" applyBorder="1" applyAlignment="1" applyProtection="1">
      <alignment horizontal="center" vertical="center"/>
    </xf>
    <xf numFmtId="0" fontId="23" fillId="6" borderId="20" xfId="0" applyFont="1" applyFill="1" applyBorder="1" applyAlignment="1" applyProtection="1">
      <alignment horizontal="left" vertical="center"/>
    </xf>
    <xf numFmtId="0" fontId="23" fillId="6" borderId="20" xfId="0" applyFont="1" applyFill="1" applyBorder="1" applyAlignment="1" applyProtection="1">
      <alignment horizontal="right" vertical="center"/>
    </xf>
    <xf numFmtId="0" fontId="23" fillId="0" borderId="0" xfId="0" applyFont="1" applyFill="1" applyBorder="1" applyAlignment="1" applyProtection="1">
      <alignment horizontal="left" vertical="center"/>
    </xf>
    <xf numFmtId="0" fontId="23" fillId="0" borderId="0" xfId="0" applyFont="1" applyFill="1" applyBorder="1" applyAlignment="1" applyProtection="1">
      <alignment horizontal="right" vertical="center"/>
    </xf>
    <xf numFmtId="0" fontId="18" fillId="0" borderId="0" xfId="0" applyFont="1" applyFill="1" applyBorder="1" applyAlignment="1" applyProtection="1">
      <alignment horizontal="center" vertical="center"/>
    </xf>
    <xf numFmtId="0" fontId="18" fillId="2" borderId="1"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27" fillId="0" borderId="18" xfId="0" applyFont="1" applyFill="1" applyBorder="1" applyAlignment="1" applyProtection="1">
      <alignment horizontal="right" vertical="center"/>
    </xf>
    <xf numFmtId="0" fontId="23" fillId="14" borderId="26" xfId="0" applyFont="1" applyFill="1" applyBorder="1" applyAlignment="1" applyProtection="1">
      <alignment vertical="center"/>
    </xf>
    <xf numFmtId="9" fontId="18" fillId="0" borderId="0" xfId="0" applyNumberFormat="1" applyFont="1" applyFill="1" applyBorder="1" applyAlignment="1" applyProtection="1">
      <alignment vertical="center"/>
    </xf>
    <xf numFmtId="0" fontId="18" fillId="0" borderId="12" xfId="0" applyFont="1" applyFill="1" applyBorder="1" applyAlignment="1" applyProtection="1">
      <alignment horizontal="center" vertical="center"/>
    </xf>
    <xf numFmtId="9" fontId="18" fillId="0" borderId="0" xfId="0" applyNumberFormat="1" applyFont="1" applyFill="1" applyAlignment="1" applyProtection="1">
      <alignment vertical="center"/>
    </xf>
    <xf numFmtId="0" fontId="18" fillId="0" borderId="25" xfId="0" applyFont="1" applyFill="1" applyBorder="1" applyAlignment="1" applyProtection="1">
      <alignment horizontal="center" vertical="center"/>
    </xf>
    <xf numFmtId="0" fontId="32" fillId="16" borderId="1" xfId="0" applyFont="1" applyFill="1" applyBorder="1" applyAlignment="1" applyProtection="1">
      <alignment horizontal="right" vertical="center"/>
    </xf>
    <xf numFmtId="0" fontId="15" fillId="0" borderId="0" xfId="0" applyFont="1" applyFill="1" applyAlignment="1" applyProtection="1">
      <alignment horizontal="right" vertical="center"/>
    </xf>
    <xf numFmtId="9" fontId="33" fillId="6" borderId="0" xfId="3" applyFont="1" applyFill="1" applyBorder="1" applyAlignment="1" applyProtection="1">
      <alignment horizontal="center" vertical="center"/>
    </xf>
    <xf numFmtId="0" fontId="34" fillId="0" borderId="0" xfId="0" applyFont="1" applyFill="1" applyBorder="1" applyAlignment="1" applyProtection="1">
      <alignment horizontal="center" vertical="center" shrinkToFit="1"/>
    </xf>
    <xf numFmtId="0" fontId="35" fillId="0" borderId="0" xfId="0" applyFont="1" applyFill="1" applyAlignment="1" applyProtection="1">
      <alignment horizontal="left" vertical="center"/>
    </xf>
    <xf numFmtId="0" fontId="34" fillId="0" borderId="0" xfId="0" applyFont="1" applyFill="1" applyBorder="1" applyAlignment="1" applyProtection="1">
      <alignment vertical="top" wrapText="1"/>
    </xf>
    <xf numFmtId="0" fontId="36" fillId="0" borderId="0" xfId="0" applyFont="1" applyFill="1" applyBorder="1" applyAlignment="1" applyProtection="1">
      <alignment horizontal="center" vertical="center"/>
    </xf>
    <xf numFmtId="0" fontId="20" fillId="0" borderId="0" xfId="0" applyFont="1" applyFill="1" applyAlignment="1" applyProtection="1"/>
    <xf numFmtId="0" fontId="20" fillId="0" borderId="19" xfId="0" applyFont="1" applyFill="1" applyBorder="1" applyProtection="1"/>
    <xf numFmtId="0" fontId="20" fillId="0" borderId="19" xfId="0" applyFont="1" applyFill="1" applyBorder="1" applyAlignment="1" applyProtection="1">
      <alignment horizontal="center" vertical="center"/>
    </xf>
    <xf numFmtId="0" fontId="20" fillId="6" borderId="0" xfId="0" applyFont="1" applyFill="1" applyBorder="1" applyAlignment="1" applyProtection="1">
      <alignment horizontal="left" vertical="center"/>
    </xf>
    <xf numFmtId="0" fontId="20" fillId="6" borderId="0" xfId="0" applyFont="1" applyFill="1" applyBorder="1" applyProtection="1"/>
    <xf numFmtId="0" fontId="20" fillId="6" borderId="20" xfId="0" applyFont="1" applyFill="1" applyBorder="1" applyAlignment="1" applyProtection="1">
      <alignment horizontal="center" vertical="center"/>
    </xf>
    <xf numFmtId="0" fontId="20" fillId="6" borderId="20" xfId="0" applyFont="1" applyFill="1" applyBorder="1" applyProtection="1"/>
    <xf numFmtId="0" fontId="20" fillId="0" borderId="0" xfId="0" applyFont="1" applyFill="1" applyBorder="1" applyProtection="1"/>
    <xf numFmtId="0" fontId="20" fillId="0" borderId="0" xfId="0" applyFont="1" applyFill="1" applyBorder="1" applyProtection="1">
      <protection locked="0" hidden="1"/>
    </xf>
    <xf numFmtId="0" fontId="20" fillId="0" borderId="0" xfId="0" applyFont="1" applyFill="1" applyBorder="1" applyAlignment="1" applyProtection="1">
      <alignment vertical="center"/>
    </xf>
    <xf numFmtId="0" fontId="30" fillId="14" borderId="27" xfId="0" applyFont="1" applyFill="1" applyBorder="1" applyAlignment="1" applyProtection="1">
      <alignment vertical="center"/>
    </xf>
    <xf numFmtId="0" fontId="20" fillId="0" borderId="0" xfId="0" applyFont="1" applyFill="1" applyAlignment="1" applyProtection="1">
      <alignment vertical="center"/>
    </xf>
    <xf numFmtId="0" fontId="22" fillId="0" borderId="0" xfId="0" applyFont="1" applyFill="1" applyBorder="1" applyAlignment="1" applyProtection="1">
      <alignment vertical="center"/>
    </xf>
    <xf numFmtId="0" fontId="37" fillId="0" borderId="0" xfId="0" applyFont="1" applyFill="1" applyBorder="1" applyAlignment="1" applyProtection="1">
      <alignment horizontal="right" vertical="center"/>
    </xf>
    <xf numFmtId="0" fontId="38" fillId="0" borderId="0" xfId="0" applyFont="1" applyFill="1" applyBorder="1" applyAlignment="1" applyProtection="1">
      <alignment horizontal="center" vertical="center"/>
    </xf>
    <xf numFmtId="165" fontId="20" fillId="2" borderId="2" xfId="0" applyNumberFormat="1" applyFont="1" applyFill="1" applyBorder="1" applyAlignment="1" applyProtection="1">
      <alignment horizontal="center" vertical="center"/>
      <protection locked="0"/>
    </xf>
    <xf numFmtId="166" fontId="20" fillId="2" borderId="4" xfId="0" applyNumberFormat="1" applyFont="1" applyFill="1" applyBorder="1" applyAlignment="1" applyProtection="1">
      <alignment horizontal="center" vertical="center"/>
      <protection locked="0"/>
    </xf>
    <xf numFmtId="0" fontId="20" fillId="0" borderId="0" xfId="0" applyFont="1" applyFill="1" applyProtection="1"/>
    <xf numFmtId="0" fontId="22" fillId="0" borderId="17" xfId="0" applyFont="1" applyFill="1" applyBorder="1" applyAlignment="1" applyProtection="1">
      <alignment vertical="center"/>
    </xf>
    <xf numFmtId="0" fontId="20" fillId="0" borderId="17" xfId="0" applyFont="1" applyFill="1" applyBorder="1" applyAlignment="1" applyProtection="1">
      <alignment horizontal="center" vertical="center"/>
    </xf>
    <xf numFmtId="0" fontId="12" fillId="0" borderId="17" xfId="0" applyFont="1" applyFill="1" applyBorder="1" applyAlignment="1" applyProtection="1">
      <alignment horizontal="center" vertical="center"/>
    </xf>
    <xf numFmtId="0" fontId="20" fillId="0" borderId="17" xfId="0" applyFont="1" applyFill="1" applyBorder="1" applyAlignment="1" applyProtection="1"/>
    <xf numFmtId="0" fontId="12" fillId="0" borderId="0" xfId="0" applyFont="1" applyFill="1" applyBorder="1" applyAlignment="1" applyProtection="1">
      <alignment horizontal="center" vertical="center"/>
    </xf>
    <xf numFmtId="0" fontId="20" fillId="0" borderId="0" xfId="0" applyFont="1" applyFill="1" applyBorder="1" applyAlignment="1" applyProtection="1"/>
    <xf numFmtId="0" fontId="20" fillId="0" borderId="0" xfId="0" applyFont="1" applyFill="1" applyAlignment="1" applyProtection="1">
      <alignment horizontal="left" vertical="center"/>
    </xf>
    <xf numFmtId="0" fontId="12" fillId="0" borderId="0" xfId="0" applyFont="1" applyFill="1" applyBorder="1" applyAlignment="1" applyProtection="1">
      <alignment vertical="center"/>
    </xf>
    <xf numFmtId="0" fontId="12" fillId="0" borderId="0" xfId="0" applyFont="1" applyFill="1" applyBorder="1" applyAlignment="1" applyProtection="1">
      <alignment horizontal="left" vertical="center"/>
    </xf>
    <xf numFmtId="0" fontId="22" fillId="0" borderId="0" xfId="0" applyFont="1" applyFill="1" applyBorder="1" applyAlignment="1" applyProtection="1">
      <alignment horizontal="left" vertical="center" indent="1"/>
    </xf>
    <xf numFmtId="0" fontId="20" fillId="0" borderId="0" xfId="0" applyFont="1" applyFill="1" applyAlignment="1" applyProtection="1">
      <alignment horizontal="left" vertical="center" indent="1"/>
    </xf>
    <xf numFmtId="0" fontId="25" fillId="0" borderId="18" xfId="0" applyFont="1" applyFill="1" applyBorder="1" applyAlignment="1" applyProtection="1">
      <alignment vertical="center"/>
    </xf>
    <xf numFmtId="0" fontId="33" fillId="6" borderId="0" xfId="0" applyFont="1" applyFill="1" applyBorder="1" applyAlignment="1" applyProtection="1">
      <alignment horizontal="right" vertical="center"/>
    </xf>
    <xf numFmtId="0" fontId="26" fillId="2" borderId="3" xfId="0" quotePrefix="1" applyNumberFormat="1" applyFont="1" applyFill="1" applyBorder="1" applyAlignment="1" applyProtection="1">
      <alignment horizontal="center" vertical="center"/>
    </xf>
    <xf numFmtId="0" fontId="35" fillId="14" borderId="1" xfId="0" applyFont="1" applyFill="1" applyBorder="1" applyAlignment="1" applyProtection="1">
      <alignment horizontal="left" vertical="center" indent="2"/>
    </xf>
    <xf numFmtId="0" fontId="39" fillId="13" borderId="1" xfId="0" applyFont="1" applyFill="1" applyBorder="1" applyAlignment="1" applyProtection="1">
      <alignment horizontal="left"/>
    </xf>
    <xf numFmtId="0" fontId="39" fillId="13" borderId="1" xfId="0" applyNumberFormat="1" applyFont="1" applyFill="1" applyBorder="1" applyAlignment="1" applyProtection="1">
      <alignment horizontal="left"/>
    </xf>
    <xf numFmtId="0" fontId="39" fillId="13" borderId="2" xfId="0" applyFont="1" applyFill="1" applyBorder="1" applyAlignment="1" applyProtection="1">
      <alignment horizontal="left"/>
    </xf>
    <xf numFmtId="0" fontId="35" fillId="14" borderId="0" xfId="0" applyFont="1" applyFill="1" applyBorder="1" applyAlignment="1" applyProtection="1">
      <alignment horizontal="left"/>
    </xf>
    <xf numFmtId="0" fontId="35" fillId="14" borderId="0" xfId="0" applyNumberFormat="1" applyFont="1" applyFill="1" applyBorder="1" applyAlignment="1" applyProtection="1">
      <alignment horizontal="left"/>
    </xf>
    <xf numFmtId="0" fontId="35" fillId="14" borderId="1" xfId="0" applyFont="1" applyFill="1" applyBorder="1" applyAlignment="1" applyProtection="1">
      <alignment horizontal="left"/>
    </xf>
    <xf numFmtId="0" fontId="35" fillId="12" borderId="1" xfId="0" applyNumberFormat="1" applyFont="1" applyFill="1" applyBorder="1" applyAlignment="1" applyProtection="1">
      <alignment horizontal="left"/>
    </xf>
    <xf numFmtId="0" fontId="35" fillId="14" borderId="1" xfId="0" applyFont="1" applyFill="1" applyBorder="1" applyAlignment="1" applyProtection="1">
      <alignment horizontal="left" vertical="center"/>
    </xf>
    <xf numFmtId="0" fontId="35" fillId="12" borderId="1" xfId="0" applyNumberFormat="1" applyFont="1" applyFill="1" applyBorder="1" applyAlignment="1" applyProtection="1">
      <alignment horizontal="left" vertical="center"/>
    </xf>
    <xf numFmtId="0" fontId="24" fillId="14" borderId="1" xfId="0" applyFont="1" applyFill="1" applyBorder="1" applyAlignment="1" applyProtection="1">
      <alignment horizontal="left" vertical="center"/>
    </xf>
    <xf numFmtId="1" fontId="35" fillId="7" borderId="1" xfId="3" applyNumberFormat="1" applyFont="1" applyFill="1" applyBorder="1" applyAlignment="1" applyProtection="1">
      <alignment horizontal="left" vertical="center"/>
    </xf>
    <xf numFmtId="0" fontId="40" fillId="16" borderId="1" xfId="0" applyFont="1" applyFill="1" applyBorder="1" applyAlignment="1" applyProtection="1">
      <alignment horizontal="left" vertical="center"/>
    </xf>
    <xf numFmtId="0" fontId="41" fillId="16" borderId="1" xfId="0" applyFont="1" applyFill="1" applyBorder="1" applyAlignment="1" applyProtection="1">
      <alignment horizontal="left" vertical="center"/>
    </xf>
    <xf numFmtId="0" fontId="35" fillId="16" borderId="1" xfId="0" applyFont="1" applyFill="1" applyBorder="1" applyAlignment="1" applyProtection="1">
      <alignment horizontal="left" vertical="center"/>
    </xf>
    <xf numFmtId="0" fontId="35" fillId="6" borderId="1" xfId="0" applyNumberFormat="1" applyFont="1" applyFill="1" applyBorder="1" applyAlignment="1" applyProtection="1">
      <alignment horizontal="left" vertical="center"/>
    </xf>
    <xf numFmtId="164" fontId="35" fillId="6" borderId="1" xfId="0" applyNumberFormat="1" applyFont="1" applyFill="1" applyBorder="1" applyAlignment="1" applyProtection="1">
      <alignment horizontal="left" vertical="center"/>
    </xf>
    <xf numFmtId="0" fontId="35" fillId="14" borderId="1" xfId="0" applyFont="1" applyFill="1" applyBorder="1" applyAlignment="1" applyProtection="1">
      <alignment horizontal="left" vertical="center" indent="1"/>
    </xf>
    <xf numFmtId="9" fontId="35" fillId="12" borderId="1" xfId="3" applyFont="1" applyFill="1" applyBorder="1" applyAlignment="1" applyProtection="1">
      <alignment horizontal="left" vertical="center"/>
    </xf>
    <xf numFmtId="0" fontId="24" fillId="12" borderId="1" xfId="0" applyNumberFormat="1" applyFont="1" applyFill="1" applyBorder="1" applyAlignment="1" applyProtection="1">
      <alignment horizontal="left" vertical="center"/>
    </xf>
    <xf numFmtId="0" fontId="35" fillId="7" borderId="1" xfId="0" applyNumberFormat="1" applyFont="1" applyFill="1" applyBorder="1" applyAlignment="1" applyProtection="1">
      <alignment horizontal="left" vertical="center"/>
    </xf>
    <xf numFmtId="0" fontId="35" fillId="15" borderId="1" xfId="0" applyFont="1" applyFill="1" applyBorder="1" applyAlignment="1" applyProtection="1">
      <alignment horizontal="left" vertical="center" indent="1"/>
    </xf>
    <xf numFmtId="0" fontId="35" fillId="9" borderId="1" xfId="0" applyNumberFormat="1" applyFont="1" applyFill="1" applyBorder="1" applyAlignment="1" applyProtection="1">
      <alignment horizontal="left" vertical="center"/>
    </xf>
    <xf numFmtId="0" fontId="35" fillId="0" borderId="0" xfId="0" applyFont="1" applyFill="1" applyAlignment="1" applyProtection="1">
      <alignment horizontal="left"/>
    </xf>
    <xf numFmtId="0" fontId="35" fillId="0" borderId="0" xfId="0" applyNumberFormat="1" applyFont="1" applyFill="1" applyAlignment="1" applyProtection="1">
      <alignment horizontal="left"/>
    </xf>
    <xf numFmtId="0" fontId="24" fillId="0" borderId="0" xfId="0" applyFont="1" applyFill="1" applyAlignment="1" applyProtection="1">
      <alignment horizontal="left"/>
    </xf>
    <xf numFmtId="0" fontId="24" fillId="0" borderId="0" xfId="0" applyNumberFormat="1" applyFont="1" applyFill="1" applyAlignment="1" applyProtection="1">
      <alignment horizontal="left"/>
    </xf>
    <xf numFmtId="0" fontId="16" fillId="16" borderId="1" xfId="0" applyNumberFormat="1" applyFont="1" applyFill="1" applyBorder="1" applyAlignment="1" applyProtection="1">
      <alignment horizontal="left" vertical="center"/>
    </xf>
    <xf numFmtId="0" fontId="22" fillId="6" borderId="20" xfId="0" applyFont="1" applyFill="1" applyBorder="1" applyAlignment="1">
      <alignment vertical="center"/>
    </xf>
    <xf numFmtId="0" fontId="20" fillId="2" borderId="1" xfId="0" applyFont="1" applyFill="1" applyBorder="1" applyAlignment="1" applyProtection="1">
      <alignment horizontal="center" vertical="center"/>
      <protection locked="0"/>
    </xf>
    <xf numFmtId="0" fontId="20" fillId="14" borderId="21" xfId="0" applyFont="1" applyFill="1" applyBorder="1"/>
    <xf numFmtId="0" fontId="20" fillId="0" borderId="19" xfId="0" applyFont="1" applyFill="1" applyBorder="1" applyProtection="1">
      <protection hidden="1"/>
    </xf>
    <xf numFmtId="0" fontId="20" fillId="0" borderId="19" xfId="0" applyFont="1" applyFill="1" applyBorder="1" applyAlignment="1" applyProtection="1">
      <alignment horizontal="center" vertical="center"/>
      <protection hidden="1"/>
    </xf>
    <xf numFmtId="0" fontId="20" fillId="0" borderId="0" xfId="0" applyFont="1"/>
    <xf numFmtId="0" fontId="20" fillId="6" borderId="20" xfId="0" applyFont="1" applyFill="1" applyBorder="1"/>
    <xf numFmtId="0" fontId="22" fillId="0" borderId="0" xfId="0" applyFont="1" applyAlignment="1">
      <alignment vertical="center"/>
    </xf>
    <xf numFmtId="0" fontId="20" fillId="0" borderId="0" xfId="0" applyFont="1" applyAlignment="1">
      <alignment vertical="center"/>
    </xf>
    <xf numFmtId="0" fontId="20" fillId="0" borderId="0" xfId="0" applyFont="1" applyProtection="1">
      <protection locked="0"/>
    </xf>
    <xf numFmtId="0" fontId="22" fillId="0" borderId="18" xfId="0" applyFont="1" applyBorder="1"/>
    <xf numFmtId="0" fontId="20" fillId="0" borderId="18" xfId="0" applyFont="1" applyBorder="1"/>
    <xf numFmtId="168" fontId="20" fillId="0" borderId="0" xfId="0" applyNumberFormat="1" applyFont="1" applyFill="1" applyBorder="1" applyAlignment="1" applyProtection="1">
      <alignment horizontal="right" vertical="center" indent="1"/>
      <protection hidden="1"/>
    </xf>
    <xf numFmtId="0" fontId="22" fillId="0" borderId="0" xfId="0" applyFont="1" applyBorder="1"/>
    <xf numFmtId="0" fontId="20" fillId="0" borderId="0" xfId="0" applyFont="1" applyBorder="1"/>
    <xf numFmtId="0" fontId="28" fillId="0" borderId="0" xfId="0" applyFont="1" applyAlignment="1">
      <alignment vertical="center"/>
    </xf>
    <xf numFmtId="0" fontId="22" fillId="6" borderId="20" xfId="0" applyFont="1" applyFill="1" applyBorder="1" applyAlignment="1">
      <alignment horizontal="left" vertical="center" indent="1"/>
    </xf>
    <xf numFmtId="0" fontId="20" fillId="14" borderId="28" xfId="0" applyFont="1" applyFill="1" applyBorder="1"/>
    <xf numFmtId="0" fontId="6" fillId="0" borderId="0" xfId="0" applyFont="1" applyAlignment="1">
      <alignment horizontal="left"/>
    </xf>
    <xf numFmtId="0" fontId="13" fillId="0" borderId="0" xfId="0" applyFont="1" applyBorder="1" applyAlignment="1">
      <alignment horizontal="left" wrapText="1"/>
    </xf>
    <xf numFmtId="0" fontId="2" fillId="4" borderId="11" xfId="0" applyFont="1" applyFill="1" applyBorder="1" applyAlignment="1">
      <alignment horizontal="left"/>
    </xf>
    <xf numFmtId="0" fontId="2" fillId="5" borderId="11" xfId="0" applyFont="1" applyFill="1" applyBorder="1" applyAlignment="1">
      <alignment horizontal="left"/>
    </xf>
    <xf numFmtId="0" fontId="14" fillId="0" borderId="0" xfId="0" applyFont="1" applyProtection="1"/>
    <xf numFmtId="37" fontId="12" fillId="0" borderId="9" xfId="0" applyNumberFormat="1" applyFont="1" applyFill="1" applyBorder="1" applyAlignment="1" applyProtection="1">
      <alignment horizontal="right"/>
    </xf>
    <xf numFmtId="37" fontId="21" fillId="0" borderId="9" xfId="0" applyNumberFormat="1" applyFont="1" applyFill="1" applyBorder="1" applyAlignment="1" applyProtection="1">
      <alignment horizontal="right"/>
    </xf>
    <xf numFmtId="0" fontId="11" fillId="0" borderId="0" xfId="0" applyFont="1" applyBorder="1" applyAlignment="1">
      <alignment horizontal="center"/>
    </xf>
    <xf numFmtId="0" fontId="11" fillId="9" borderId="0" xfId="0" applyFont="1" applyFill="1" applyBorder="1" applyAlignment="1">
      <alignment horizontal="center"/>
    </xf>
    <xf numFmtId="0" fontId="2" fillId="9" borderId="0" xfId="0" applyNumberFormat="1" applyFont="1" applyFill="1"/>
    <xf numFmtId="0" fontId="2" fillId="9" borderId="0" xfId="0" applyFont="1" applyFill="1" applyAlignment="1">
      <alignment horizontal="center"/>
    </xf>
    <xf numFmtId="0" fontId="2" fillId="18" borderId="0" xfId="0" applyNumberFormat="1" applyFont="1" applyFill="1" applyBorder="1"/>
    <xf numFmtId="0" fontId="2" fillId="0" borderId="0" xfId="0" applyNumberFormat="1" applyFont="1" applyFill="1" applyAlignment="1">
      <alignment horizontal="left"/>
    </xf>
    <xf numFmtId="0" fontId="44" fillId="19" borderId="0" xfId="0" applyNumberFormat="1" applyFont="1" applyFill="1"/>
    <xf numFmtId="0" fontId="44" fillId="19" borderId="0" xfId="0" applyFont="1" applyFill="1" applyBorder="1"/>
    <xf numFmtId="0" fontId="44" fillId="19" borderId="0" xfId="0" applyFont="1" applyFill="1" applyBorder="1" applyAlignment="1">
      <alignment horizontal="center"/>
    </xf>
    <xf numFmtId="0" fontId="44" fillId="19" borderId="0" xfId="0" applyFont="1" applyFill="1" applyBorder="1" applyAlignment="1">
      <alignment horizontal="left"/>
    </xf>
    <xf numFmtId="0" fontId="44" fillId="19" borderId="0" xfId="0" applyNumberFormat="1" applyFont="1" applyFill="1" applyBorder="1" applyAlignment="1">
      <alignment horizontal="left"/>
    </xf>
    <xf numFmtId="0" fontId="44" fillId="19" borderId="0" xfId="0" applyNumberFormat="1" applyFont="1" applyFill="1" applyBorder="1"/>
    <xf numFmtId="0" fontId="2" fillId="18" borderId="0" xfId="0" applyNumberFormat="1" applyFont="1" applyFill="1"/>
    <xf numFmtId="0" fontId="18" fillId="0" borderId="0" xfId="0" applyFont="1" applyFill="1" applyBorder="1" applyAlignment="1" applyProtection="1">
      <alignment horizontal="center" vertical="center"/>
    </xf>
    <xf numFmtId="0" fontId="20" fillId="2" borderId="1" xfId="0" applyFont="1" applyFill="1" applyBorder="1" applyAlignment="1" applyProtection="1">
      <alignment horizontal="center" vertical="center"/>
      <protection locked="0"/>
    </xf>
    <xf numFmtId="0" fontId="15" fillId="0" borderId="5" xfId="0" applyFont="1" applyFill="1" applyBorder="1" applyAlignment="1" applyProtection="1">
      <alignment horizontal="right" vertical="center"/>
    </xf>
    <xf numFmtId="0" fontId="12" fillId="0" borderId="0" xfId="0" applyFont="1" applyFill="1" applyBorder="1" applyAlignment="1" applyProtection="1">
      <alignment horizontal="left" vertical="center" shrinkToFit="1"/>
    </xf>
    <xf numFmtId="0" fontId="19" fillId="0" borderId="0" xfId="0" applyFont="1" applyFill="1" applyBorder="1" applyAlignment="1" applyProtection="1">
      <alignment vertical="center" shrinkToFit="1"/>
    </xf>
    <xf numFmtId="0" fontId="21" fillId="0" borderId="0" xfId="0" applyFont="1" applyFill="1" applyBorder="1" applyAlignment="1" applyProtection="1">
      <alignment vertical="top" wrapText="1"/>
    </xf>
    <xf numFmtId="0" fontId="31" fillId="2" borderId="4" xfId="0" applyFont="1" applyFill="1" applyBorder="1" applyAlignment="1" applyProtection="1">
      <alignment horizontal="center" vertical="center"/>
    </xf>
    <xf numFmtId="0" fontId="45" fillId="0" borderId="0" xfId="0" applyNumberFormat="1" applyFont="1"/>
    <xf numFmtId="0" fontId="45" fillId="0" borderId="0" xfId="0" applyFont="1" applyBorder="1"/>
    <xf numFmtId="0" fontId="45" fillId="0" borderId="0" xfId="0" applyFont="1" applyBorder="1" applyAlignment="1">
      <alignment horizontal="left"/>
    </xf>
    <xf numFmtId="0" fontId="45" fillId="0" borderId="0" xfId="0" applyNumberFormat="1" applyFont="1" applyFill="1" applyBorder="1" applyAlignment="1">
      <alignment horizontal="left"/>
    </xf>
    <xf numFmtId="0" fontId="45" fillId="0" borderId="0" xfId="0" applyNumberFormat="1" applyFont="1" applyBorder="1"/>
    <xf numFmtId="0" fontId="45" fillId="0" borderId="0" xfId="0" applyNumberFormat="1" applyFont="1" applyBorder="1" applyAlignment="1">
      <alignment horizontal="left"/>
    </xf>
    <xf numFmtId="0" fontId="45" fillId="0" borderId="0" xfId="0" applyNumberFormat="1" applyFont="1" applyFill="1"/>
    <xf numFmtId="0" fontId="45" fillId="0" borderId="0" xfId="0" applyNumberFormat="1" applyFont="1" applyFill="1" applyBorder="1"/>
    <xf numFmtId="0" fontId="2" fillId="12" borderId="0" xfId="0" applyNumberFormat="1" applyFont="1" applyFill="1" applyBorder="1" applyAlignment="1">
      <alignment horizontal="left"/>
    </xf>
    <xf numFmtId="0" fontId="12" fillId="0" borderId="0" xfId="0" applyFont="1" applyFill="1" applyBorder="1" applyAlignment="1" applyProtection="1">
      <alignment vertical="top" wrapText="1"/>
    </xf>
    <xf numFmtId="0" fontId="22" fillId="0" borderId="18" xfId="0" applyFont="1" applyFill="1" applyBorder="1" applyAlignment="1" applyProtection="1">
      <alignment vertical="center"/>
    </xf>
    <xf numFmtId="0" fontId="14" fillId="0" borderId="17" xfId="0" applyFont="1" applyFill="1" applyBorder="1" applyAlignment="1" applyProtection="1">
      <alignment horizontal="center" vertical="center"/>
    </xf>
    <xf numFmtId="0" fontId="14" fillId="0" borderId="17" xfId="0" applyFont="1" applyFill="1" applyBorder="1" applyProtection="1"/>
    <xf numFmtId="0" fontId="12" fillId="0" borderId="18" xfId="0" applyFont="1" applyFill="1" applyBorder="1" applyAlignment="1" applyProtection="1">
      <alignment horizontal="center" vertical="center"/>
    </xf>
    <xf numFmtId="0" fontId="20" fillId="0" borderId="18" xfId="0" applyFont="1" applyFill="1" applyBorder="1" applyAlignment="1" applyProtection="1">
      <alignment horizontal="center" vertical="center"/>
    </xf>
    <xf numFmtId="0" fontId="20" fillId="0" borderId="18" xfId="0" applyFont="1" applyFill="1" applyBorder="1" applyAlignment="1" applyProtection="1"/>
    <xf numFmtId="0" fontId="29" fillId="0" borderId="0" xfId="0" applyFont="1" applyFill="1" applyBorder="1" applyAlignment="1" applyProtection="1">
      <alignment horizontal="left" vertical="center"/>
    </xf>
    <xf numFmtId="0" fontId="35" fillId="6" borderId="1" xfId="0" applyNumberFormat="1" applyFont="1" applyFill="1" applyBorder="1" applyAlignment="1" applyProtection="1">
      <alignment horizontal="left" vertical="center"/>
      <protection locked="0"/>
    </xf>
    <xf numFmtId="0" fontId="28" fillId="0" borderId="0" xfId="0" applyFont="1" applyFill="1" applyAlignment="1" applyProtection="1">
      <alignment vertical="center"/>
    </xf>
    <xf numFmtId="0" fontId="47" fillId="0" borderId="0" xfId="0" applyFont="1" applyFill="1" applyBorder="1" applyAlignment="1" applyProtection="1">
      <alignment vertical="center"/>
    </xf>
    <xf numFmtId="0" fontId="46"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47" fillId="0" borderId="0" xfId="0" applyFont="1" applyFill="1" applyBorder="1" applyAlignment="1" applyProtection="1"/>
    <xf numFmtId="0" fontId="20" fillId="2" borderId="2" xfId="0" applyFont="1" applyFill="1" applyBorder="1" applyAlignment="1" applyProtection="1">
      <alignment horizontal="center" vertical="center"/>
      <protection locked="0"/>
    </xf>
    <xf numFmtId="0" fontId="14" fillId="0" borderId="0" xfId="0" applyFont="1" applyBorder="1" applyProtection="1"/>
    <xf numFmtId="0" fontId="48" fillId="0" borderId="0" xfId="0" applyFont="1" applyProtection="1">
      <protection locked="0"/>
    </xf>
    <xf numFmtId="0" fontId="2" fillId="9" borderId="18" xfId="0" applyFont="1" applyFill="1" applyBorder="1" applyAlignment="1">
      <alignment horizontal="center"/>
    </xf>
    <xf numFmtId="0" fontId="2" fillId="18" borderId="18" xfId="0" applyNumberFormat="1" applyFont="1" applyFill="1" applyBorder="1"/>
    <xf numFmtId="0" fontId="49" fillId="0" borderId="0" xfId="0" applyNumberFormat="1" applyFont="1"/>
    <xf numFmtId="0" fontId="49" fillId="0" borderId="0" xfId="0" applyFont="1"/>
    <xf numFmtId="0" fontId="49" fillId="0" borderId="0" xfId="0" applyFont="1" applyAlignment="1">
      <alignment horizontal="center"/>
    </xf>
    <xf numFmtId="0" fontId="49" fillId="0" borderId="0" xfId="0" applyFont="1" applyAlignment="1">
      <alignment horizontal="left"/>
    </xf>
    <xf numFmtId="0" fontId="49" fillId="0" borderId="0" xfId="0" applyNumberFormat="1" applyFont="1" applyAlignment="1">
      <alignment horizontal="left"/>
    </xf>
    <xf numFmtId="0" fontId="49" fillId="12" borderId="0" xfId="0" applyNumberFormat="1" applyFont="1" applyFill="1" applyAlignment="1">
      <alignment horizontal="left"/>
    </xf>
    <xf numFmtId="0" fontId="50" fillId="0" borderId="0" xfId="0" applyFont="1" applyFill="1" applyProtection="1">
      <protection locked="0"/>
    </xf>
    <xf numFmtId="0" fontId="42" fillId="0" borderId="0" xfId="0" applyFont="1" applyBorder="1" applyAlignment="1" applyProtection="1">
      <alignment horizontal="right"/>
    </xf>
    <xf numFmtId="0" fontId="14" fillId="0" borderId="0" xfId="0" applyFont="1" applyFill="1" applyBorder="1" applyAlignment="1" applyProtection="1">
      <alignment horizontal="center" vertical="center"/>
    </xf>
    <xf numFmtId="49" fontId="21" fillId="14" borderId="29" xfId="0" applyNumberFormat="1" applyFont="1" applyFill="1" applyBorder="1" applyAlignment="1" applyProtection="1">
      <alignment horizontal="center" vertical="center" wrapText="1"/>
    </xf>
    <xf numFmtId="43" fontId="22" fillId="14" borderId="5" xfId="0" applyNumberFormat="1" applyFont="1" applyFill="1" applyBorder="1" applyAlignment="1" applyProtection="1">
      <alignment horizontal="center" vertical="center" wrapText="1"/>
    </xf>
    <xf numFmtId="43" fontId="22" fillId="14" borderId="13" xfId="0" applyNumberFormat="1" applyFont="1" applyFill="1" applyBorder="1" applyAlignment="1" applyProtection="1">
      <alignment horizontal="center" vertical="center" wrapText="1"/>
    </xf>
    <xf numFmtId="170" fontId="22" fillId="14" borderId="5" xfId="0" applyNumberFormat="1" applyFont="1" applyFill="1" applyBorder="1" applyAlignment="1" applyProtection="1">
      <alignment horizontal="center" vertical="center" wrapText="1"/>
    </xf>
    <xf numFmtId="37" fontId="12" fillId="0" borderId="0" xfId="0" applyNumberFormat="1" applyFont="1" applyFill="1" applyBorder="1" applyAlignment="1" applyProtection="1">
      <alignment horizontal="right"/>
    </xf>
    <xf numFmtId="37" fontId="21" fillId="0" borderId="0" xfId="0" applyNumberFormat="1" applyFont="1" applyFill="1" applyBorder="1" applyAlignment="1" applyProtection="1">
      <alignment horizontal="right"/>
    </xf>
    <xf numFmtId="0" fontId="14" fillId="0" borderId="0" xfId="0" applyFont="1" applyAlignment="1" applyProtection="1">
      <alignment vertical="center"/>
    </xf>
    <xf numFmtId="49" fontId="21" fillId="14" borderId="37" xfId="0" applyNumberFormat="1" applyFont="1" applyFill="1" applyBorder="1" applyAlignment="1" applyProtection="1">
      <alignment horizontal="center" vertical="center" wrapText="1"/>
    </xf>
    <xf numFmtId="37" fontId="20" fillId="2" borderId="29" xfId="1" applyNumberFormat="1" applyFont="1" applyFill="1" applyBorder="1" applyAlignment="1" applyProtection="1">
      <alignment horizontal="right" vertical="center"/>
      <protection locked="0"/>
    </xf>
    <xf numFmtId="37" fontId="20" fillId="2" borderId="1" xfId="0" applyNumberFormat="1" applyFont="1" applyFill="1" applyBorder="1" applyAlignment="1" applyProtection="1">
      <alignment horizontal="right" vertical="center"/>
      <protection locked="0"/>
    </xf>
    <xf numFmtId="37" fontId="20" fillId="2" borderId="3" xfId="0" applyNumberFormat="1" applyFont="1" applyFill="1" applyBorder="1" applyAlignment="1" applyProtection="1">
      <alignment horizontal="right" vertical="center"/>
      <protection locked="0"/>
    </xf>
    <xf numFmtId="37" fontId="20" fillId="2" borderId="29" xfId="0" applyNumberFormat="1" applyFont="1" applyFill="1" applyBorder="1" applyAlignment="1" applyProtection="1">
      <alignment horizontal="right" vertical="center"/>
      <protection locked="0"/>
    </xf>
    <xf numFmtId="0" fontId="20" fillId="0" borderId="1" xfId="0" applyFont="1" applyFill="1" applyBorder="1" applyAlignment="1" applyProtection="1">
      <alignment horizontal="left" vertical="center" indent="2"/>
    </xf>
    <xf numFmtId="0" fontId="20" fillId="0" borderId="9" xfId="0" applyFont="1" applyFill="1" applyBorder="1" applyAlignment="1" applyProtection="1"/>
    <xf numFmtId="0" fontId="21" fillId="0" borderId="5" xfId="0" applyFont="1" applyFill="1" applyBorder="1" applyAlignment="1" applyProtection="1">
      <alignment vertical="center"/>
    </xf>
    <xf numFmtId="43" fontId="22" fillId="14" borderId="31" xfId="0" applyNumberFormat="1" applyFont="1" applyFill="1" applyBorder="1" applyAlignment="1" applyProtection="1">
      <alignment horizontal="center" vertical="center" wrapText="1"/>
    </xf>
    <xf numFmtId="37" fontId="20" fillId="2" borderId="5" xfId="0" applyNumberFormat="1" applyFont="1" applyFill="1" applyBorder="1" applyAlignment="1" applyProtection="1">
      <alignment horizontal="right" vertical="center"/>
      <protection locked="0"/>
    </xf>
    <xf numFmtId="37" fontId="20" fillId="2" borderId="32" xfId="0" applyNumberFormat="1" applyFont="1" applyFill="1" applyBorder="1" applyAlignment="1" applyProtection="1">
      <alignment horizontal="right" vertical="center"/>
      <protection locked="0"/>
    </xf>
    <xf numFmtId="37" fontId="20" fillId="2" borderId="0" xfId="0" applyNumberFormat="1" applyFont="1" applyFill="1" applyBorder="1" applyAlignment="1" applyProtection="1">
      <alignment horizontal="right" vertical="center"/>
      <protection locked="0"/>
    </xf>
    <xf numFmtId="37" fontId="20" fillId="2" borderId="33" xfId="0" applyNumberFormat="1" applyFont="1" applyFill="1" applyBorder="1" applyAlignment="1" applyProtection="1">
      <alignment horizontal="right" vertical="center"/>
      <protection locked="0"/>
    </xf>
    <xf numFmtId="37" fontId="20" fillId="2" borderId="2" xfId="0" applyNumberFormat="1" applyFont="1" applyFill="1" applyBorder="1" applyAlignment="1" applyProtection="1">
      <alignment horizontal="right" vertical="center"/>
      <protection locked="0"/>
    </xf>
    <xf numFmtId="5" fontId="21" fillId="20" borderId="29" xfId="1" applyNumberFormat="1" applyFont="1" applyFill="1" applyBorder="1" applyAlignment="1" applyProtection="1">
      <alignment horizontal="right" vertical="center"/>
    </xf>
    <xf numFmtId="5" fontId="21" fillId="20" borderId="3" xfId="0" applyNumberFormat="1" applyFont="1" applyFill="1" applyBorder="1" applyAlignment="1" applyProtection="1">
      <alignment horizontal="right" vertical="center"/>
    </xf>
    <xf numFmtId="5" fontId="21" fillId="20" borderId="1" xfId="0" applyNumberFormat="1" applyFont="1" applyFill="1" applyBorder="1" applyAlignment="1" applyProtection="1">
      <alignment horizontal="right" vertical="center"/>
    </xf>
    <xf numFmtId="5" fontId="21" fillId="20" borderId="29" xfId="0" applyNumberFormat="1" applyFont="1" applyFill="1" applyBorder="1" applyAlignment="1" applyProtection="1">
      <alignment horizontal="right"/>
    </xf>
    <xf numFmtId="5" fontId="21" fillId="20" borderId="3" xfId="0" applyNumberFormat="1" applyFont="1" applyFill="1" applyBorder="1" applyAlignment="1" applyProtection="1">
      <alignment horizontal="right"/>
    </xf>
    <xf numFmtId="37" fontId="20" fillId="14" borderId="1" xfId="0" applyNumberFormat="1" applyFont="1" applyFill="1" applyBorder="1" applyAlignment="1" applyProtection="1">
      <alignment horizontal="right" vertical="center"/>
    </xf>
    <xf numFmtId="37" fontId="20" fillId="14" borderId="5" xfId="0" applyNumberFormat="1" applyFont="1" applyFill="1" applyBorder="1" applyAlignment="1" applyProtection="1">
      <alignment horizontal="right" vertical="center"/>
    </xf>
    <xf numFmtId="37" fontId="20" fillId="14" borderId="3" xfId="0" applyNumberFormat="1" applyFont="1" applyFill="1" applyBorder="1" applyAlignment="1" applyProtection="1">
      <alignment horizontal="right" vertical="center"/>
    </xf>
    <xf numFmtId="41" fontId="20" fillId="0" borderId="5" xfId="0" applyNumberFormat="1" applyFont="1" applyFill="1" applyBorder="1" applyAlignment="1" applyProtection="1">
      <alignment horizontal="right" indent="1"/>
    </xf>
    <xf numFmtId="169" fontId="12" fillId="0" borderId="1" xfId="0" applyNumberFormat="1" applyFont="1" applyBorder="1" applyAlignment="1" applyProtection="1">
      <alignment horizontal="left" vertical="center" indent="1"/>
    </xf>
    <xf numFmtId="41" fontId="20" fillId="0" borderId="9" xfId="0" applyNumberFormat="1" applyFont="1" applyFill="1" applyBorder="1" applyAlignment="1" applyProtection="1">
      <alignment horizontal="right" indent="1"/>
    </xf>
    <xf numFmtId="0" fontId="20" fillId="0" borderId="24" xfId="0" applyFont="1" applyFill="1" applyBorder="1" applyAlignment="1" applyProtection="1"/>
    <xf numFmtId="0" fontId="20" fillId="0" borderId="15" xfId="0" applyFont="1" applyFill="1" applyBorder="1" applyAlignment="1" applyProtection="1">
      <alignment vertical="center"/>
    </xf>
    <xf numFmtId="0" fontId="22" fillId="14" borderId="13" xfId="0" applyFont="1" applyFill="1" applyBorder="1" applyAlignment="1" applyProtection="1">
      <alignment horizontal="center" vertical="center"/>
    </xf>
    <xf numFmtId="41" fontId="20" fillId="20" borderId="1" xfId="0" applyNumberFormat="1" applyFont="1" applyFill="1" applyBorder="1" applyAlignment="1" applyProtection="1">
      <alignment horizontal="right" vertical="center"/>
    </xf>
    <xf numFmtId="41" fontId="22" fillId="14" borderId="1" xfId="0" applyNumberFormat="1" applyFont="1" applyFill="1" applyBorder="1" applyAlignment="1" applyProtection="1">
      <alignment horizontal="right" vertical="center"/>
    </xf>
    <xf numFmtId="0" fontId="20" fillId="0" borderId="13" xfId="0" applyFont="1" applyFill="1" applyBorder="1" applyAlignment="1" applyProtection="1">
      <alignment horizontal="left" vertical="center" indent="2"/>
    </xf>
    <xf numFmtId="5" fontId="22" fillId="20" borderId="1" xfId="0" applyNumberFormat="1" applyFont="1" applyFill="1" applyBorder="1" applyAlignment="1" applyProtection="1">
      <alignment horizontal="right" indent="1"/>
    </xf>
    <xf numFmtId="5" fontId="22" fillId="20" borderId="3" xfId="0" applyNumberFormat="1" applyFont="1" applyFill="1" applyBorder="1" applyAlignment="1" applyProtection="1">
      <alignment horizontal="right"/>
    </xf>
    <xf numFmtId="37" fontId="20" fillId="20" borderId="3" xfId="0" applyNumberFormat="1" applyFont="1" applyFill="1" applyBorder="1" applyAlignment="1" applyProtection="1">
      <alignment horizontal="right" vertical="center"/>
    </xf>
    <xf numFmtId="37" fontId="20" fillId="7" borderId="29" xfId="1" applyNumberFormat="1" applyFont="1" applyFill="1" applyBorder="1" applyAlignment="1" applyProtection="1">
      <alignment horizontal="right" vertical="center"/>
    </xf>
    <xf numFmtId="0" fontId="30" fillId="13" borderId="14" xfId="0" applyFont="1" applyFill="1" applyBorder="1" applyAlignment="1" applyProtection="1">
      <alignment horizontal="left" vertical="center" indent="1"/>
    </xf>
    <xf numFmtId="0" fontId="20" fillId="13" borderId="9" xfId="0" applyFont="1" applyFill="1" applyBorder="1" applyAlignment="1" applyProtection="1">
      <alignment vertical="center"/>
    </xf>
    <xf numFmtId="37" fontId="12" fillId="13" borderId="9" xfId="0" applyNumberFormat="1" applyFont="1" applyFill="1" applyBorder="1" applyAlignment="1" applyProtection="1">
      <alignment horizontal="right" vertical="center"/>
    </xf>
    <xf numFmtId="37" fontId="21" fillId="13" borderId="9" xfId="0" applyNumberFormat="1" applyFont="1" applyFill="1" applyBorder="1" applyAlignment="1" applyProtection="1">
      <alignment horizontal="right" vertical="center"/>
    </xf>
    <xf numFmtId="41" fontId="20" fillId="13" borderId="12" xfId="0" applyNumberFormat="1" applyFont="1" applyFill="1" applyBorder="1" applyAlignment="1" applyProtection="1">
      <alignment horizontal="right" vertical="center"/>
    </xf>
    <xf numFmtId="0" fontId="23" fillId="14" borderId="26" xfId="0" applyFont="1" applyFill="1" applyBorder="1" applyAlignment="1" applyProtection="1">
      <alignment horizontal="left" vertical="center" indent="1"/>
    </xf>
    <xf numFmtId="0" fontId="20" fillId="0" borderId="0" xfId="0" applyFont="1" applyFill="1" applyAlignment="1" applyProtection="1">
      <alignment horizontal="center" vertical="center"/>
    </xf>
    <xf numFmtId="0" fontId="24" fillId="0" borderId="0" xfId="0" applyFont="1" applyFill="1" applyBorder="1" applyAlignment="1" applyProtection="1">
      <alignment horizontal="center" vertical="center"/>
    </xf>
    <xf numFmtId="0" fontId="13" fillId="0" borderId="0" xfId="0" applyFont="1" applyBorder="1" applyAlignment="1">
      <alignment horizontal="left"/>
    </xf>
    <xf numFmtId="41" fontId="20" fillId="0" borderId="12" xfId="0" applyNumberFormat="1" applyFont="1" applyFill="1" applyBorder="1" applyAlignment="1" applyProtection="1">
      <alignment horizontal="right" indent="1"/>
    </xf>
    <xf numFmtId="0" fontId="24" fillId="0" borderId="24" xfId="0" applyFont="1" applyFill="1" applyBorder="1" applyAlignment="1" applyProtection="1">
      <alignment horizontal="center" vertical="center"/>
    </xf>
    <xf numFmtId="0" fontId="24" fillId="0" borderId="25" xfId="0" applyFont="1" applyFill="1" applyBorder="1" applyAlignment="1" applyProtection="1">
      <alignment horizontal="center" vertical="center"/>
    </xf>
    <xf numFmtId="0" fontId="17" fillId="0" borderId="0" xfId="0" applyFont="1" applyProtection="1"/>
    <xf numFmtId="0" fontId="12" fillId="0" borderId="0" xfId="0" applyFont="1" applyProtection="1"/>
    <xf numFmtId="0" fontId="17" fillId="0" borderId="0" xfId="0" applyFont="1" applyAlignment="1" applyProtection="1">
      <alignment vertical="center"/>
    </xf>
    <xf numFmtId="0" fontId="12" fillId="0" borderId="0" xfId="0" applyFont="1" applyAlignment="1" applyProtection="1">
      <alignment vertical="center"/>
    </xf>
    <xf numFmtId="0" fontId="29" fillId="0" borderId="1" xfId="0" applyFont="1" applyBorder="1" applyAlignment="1" applyProtection="1">
      <alignment vertical="center"/>
    </xf>
    <xf numFmtId="0" fontId="29" fillId="0" borderId="1" xfId="0" applyFont="1" applyBorder="1" applyAlignment="1" applyProtection="1">
      <alignment horizontal="center" vertical="center"/>
    </xf>
    <xf numFmtId="41" fontId="29" fillId="0" borderId="1" xfId="0" applyNumberFormat="1" applyFont="1" applyBorder="1" applyAlignment="1" applyProtection="1">
      <alignment vertical="center"/>
    </xf>
    <xf numFmtId="0" fontId="20" fillId="0" borderId="0" xfId="0" applyFont="1" applyFill="1" applyBorder="1" applyAlignment="1" applyProtection="1">
      <alignment horizontal="left" vertical="center"/>
    </xf>
    <xf numFmtId="0" fontId="20" fillId="0" borderId="5" xfId="0" applyFont="1" applyFill="1" applyBorder="1" applyAlignment="1" applyProtection="1"/>
    <xf numFmtId="0" fontId="20" fillId="0" borderId="38" xfId="0" applyFont="1" applyFill="1" applyBorder="1" applyAlignment="1" applyProtection="1">
      <alignment vertical="center"/>
    </xf>
    <xf numFmtId="0" fontId="18" fillId="0" borderId="38" xfId="0" applyFont="1" applyFill="1" applyBorder="1" applyAlignment="1" applyProtection="1">
      <alignment vertical="center"/>
    </xf>
    <xf numFmtId="0" fontId="18" fillId="0" borderId="5" xfId="0" applyFont="1" applyFill="1" applyBorder="1" applyAlignment="1" applyProtection="1">
      <alignment vertical="center"/>
    </xf>
    <xf numFmtId="0" fontId="20"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 fillId="19" borderId="0" xfId="0" applyNumberFormat="1" applyFont="1" applyFill="1" applyAlignment="1">
      <alignment horizontal="left"/>
    </xf>
    <xf numFmtId="0" fontId="2" fillId="18" borderId="18" xfId="0" applyNumberFormat="1" applyFont="1" applyFill="1" applyBorder="1" applyAlignment="1">
      <alignment horizontal="left"/>
    </xf>
    <xf numFmtId="0" fontId="44" fillId="19" borderId="0" xfId="0" applyNumberFormat="1" applyFont="1" applyFill="1" applyAlignment="1">
      <alignment horizontal="left"/>
    </xf>
    <xf numFmtId="0" fontId="20"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 fillId="0" borderId="0" xfId="0" applyNumberFormat="1" applyFont="1" applyAlignment="1">
      <alignment horizontal="center"/>
    </xf>
    <xf numFmtId="0" fontId="9" fillId="0" borderId="0" xfId="0" applyNumberFormat="1" applyFont="1" applyAlignment="1">
      <alignment horizontal="center"/>
    </xf>
    <xf numFmtId="0" fontId="2" fillId="0" borderId="0" xfId="0" applyNumberFormat="1" applyFont="1" applyBorder="1" applyAlignment="1">
      <alignment horizontal="center"/>
    </xf>
    <xf numFmtId="0" fontId="2" fillId="0" borderId="18" xfId="0" applyNumberFormat="1" applyFont="1" applyBorder="1" applyAlignment="1">
      <alignment horizontal="center"/>
    </xf>
    <xf numFmtId="0" fontId="9" fillId="0" borderId="0" xfId="0" applyNumberFormat="1" applyFont="1" applyBorder="1" applyAlignment="1">
      <alignment horizontal="center"/>
    </xf>
    <xf numFmtId="0" fontId="9" fillId="0" borderId="18" xfId="0" applyNumberFormat="1" applyFont="1" applyBorder="1" applyAlignment="1">
      <alignment horizontal="center"/>
    </xf>
    <xf numFmtId="0" fontId="44" fillId="19" borderId="0" xfId="0" applyNumberFormat="1" applyFont="1" applyFill="1" applyBorder="1" applyAlignment="1">
      <alignment horizontal="center"/>
    </xf>
    <xf numFmtId="0" fontId="45" fillId="0" borderId="0" xfId="0" applyNumberFormat="1" applyFont="1" applyBorder="1" applyAlignment="1">
      <alignment horizontal="center"/>
    </xf>
    <xf numFmtId="0" fontId="49" fillId="0" borderId="0" xfId="0" applyNumberFormat="1" applyFont="1" applyAlignment="1">
      <alignment horizontal="center"/>
    </xf>
    <xf numFmtId="0" fontId="23" fillId="0" borderId="5" xfId="0" applyFont="1" applyFill="1" applyBorder="1" applyAlignment="1" applyProtection="1">
      <alignment horizontal="left" vertical="center"/>
    </xf>
    <xf numFmtId="0" fontId="18" fillId="0" borderId="9" xfId="0"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xf numFmtId="0" fontId="34" fillId="0" borderId="0" xfId="0" applyFont="1" applyFill="1" applyBorder="1" applyAlignment="1" applyProtection="1">
      <alignment horizontal="center" vertical="center" shrinkToFit="1"/>
    </xf>
    <xf numFmtId="0" fontId="20" fillId="2" borderId="2" xfId="0" applyFont="1" applyFill="1" applyBorder="1" applyAlignment="1" applyProtection="1">
      <alignment horizontal="left" vertical="center" indent="1"/>
      <protection locked="0"/>
    </xf>
    <xf numFmtId="0" fontId="20" fillId="2" borderId="3" xfId="0" applyFont="1" applyFill="1" applyBorder="1" applyAlignment="1" applyProtection="1">
      <alignment horizontal="left" vertical="center" indent="1"/>
      <protection locked="0"/>
    </xf>
    <xf numFmtId="0" fontId="22" fillId="14" borderId="2" xfId="0" applyFont="1" applyFill="1" applyBorder="1" applyAlignment="1" applyProtection="1">
      <alignment horizontal="left" vertical="center" indent="1"/>
    </xf>
    <xf numFmtId="0" fontId="22" fillId="14" borderId="3" xfId="0" applyFont="1" applyFill="1" applyBorder="1" applyAlignment="1" applyProtection="1">
      <alignment horizontal="left" vertical="center" indent="1"/>
    </xf>
    <xf numFmtId="0" fontId="22" fillId="14" borderId="4" xfId="0" applyFont="1" applyFill="1" applyBorder="1" applyAlignment="1" applyProtection="1">
      <alignment horizontal="left" vertical="center" indent="1"/>
    </xf>
    <xf numFmtId="0" fontId="29" fillId="2" borderId="14" xfId="0" applyFont="1" applyFill="1" applyBorder="1" applyAlignment="1" applyProtection="1">
      <alignment horizontal="left" vertical="top" wrapText="1"/>
      <protection locked="0"/>
    </xf>
    <xf numFmtId="0" fontId="29" fillId="2" borderId="9" xfId="0" applyFont="1" applyFill="1" applyBorder="1" applyAlignment="1" applyProtection="1">
      <alignment horizontal="left" vertical="top" wrapText="1"/>
      <protection locked="0"/>
    </xf>
    <xf numFmtId="0" fontId="29" fillId="2" borderId="12" xfId="0" applyFont="1" applyFill="1" applyBorder="1" applyAlignment="1" applyProtection="1">
      <alignment horizontal="left" vertical="top" wrapText="1"/>
      <protection locked="0"/>
    </xf>
    <xf numFmtId="0" fontId="29" fillId="2" borderId="15" xfId="0" applyFont="1" applyFill="1" applyBorder="1" applyAlignment="1" applyProtection="1">
      <alignment horizontal="left" vertical="top" wrapText="1"/>
      <protection locked="0"/>
    </xf>
    <xf numFmtId="0" fontId="29" fillId="2" borderId="5" xfId="0" applyFont="1" applyFill="1" applyBorder="1" applyAlignment="1" applyProtection="1">
      <alignment horizontal="left" vertical="top" wrapText="1"/>
      <protection locked="0"/>
    </xf>
    <xf numFmtId="0" fontId="29" fillId="2" borderId="16" xfId="0" applyFont="1" applyFill="1" applyBorder="1" applyAlignment="1" applyProtection="1">
      <alignment horizontal="left" vertical="top" wrapText="1"/>
      <protection locked="0"/>
    </xf>
    <xf numFmtId="0" fontId="22" fillId="14" borderId="1" xfId="0" applyFont="1" applyFill="1" applyBorder="1" applyAlignment="1" applyProtection="1">
      <alignment horizontal="center" vertical="center"/>
    </xf>
    <xf numFmtId="0" fontId="20" fillId="0" borderId="0" xfId="0" applyFont="1" applyFill="1" applyAlignment="1" applyProtection="1">
      <alignment horizontal="left" vertical="center" wrapText="1"/>
    </xf>
    <xf numFmtId="42" fontId="20" fillId="2" borderId="2" xfId="1" applyNumberFormat="1" applyFont="1" applyFill="1" applyBorder="1" applyAlignment="1" applyProtection="1">
      <alignment horizontal="center" vertical="center"/>
      <protection locked="0"/>
    </xf>
    <xf numFmtId="42" fontId="20" fillId="2" borderId="3" xfId="1" applyNumberFormat="1" applyFont="1" applyFill="1" applyBorder="1" applyAlignment="1" applyProtection="1">
      <alignment horizontal="center" vertical="center"/>
      <protection locked="0"/>
    </xf>
    <xf numFmtId="42" fontId="20" fillId="2" borderId="4" xfId="1" applyNumberFormat="1" applyFont="1" applyFill="1" applyBorder="1" applyAlignment="1" applyProtection="1">
      <alignment horizontal="center" vertical="center"/>
      <protection locked="0"/>
    </xf>
    <xf numFmtId="0" fontId="20" fillId="0" borderId="0" xfId="0" applyFont="1" applyFill="1" applyAlignment="1" applyProtection="1">
      <alignment horizontal="left" vertical="top" wrapText="1"/>
    </xf>
    <xf numFmtId="0" fontId="12" fillId="2" borderId="2" xfId="2" applyFont="1" applyFill="1" applyBorder="1" applyAlignment="1" applyProtection="1">
      <alignment horizontal="left" vertical="center" indent="1"/>
      <protection locked="0"/>
    </xf>
    <xf numFmtId="0" fontId="12" fillId="2" borderId="3" xfId="2" applyFont="1" applyFill="1" applyBorder="1" applyAlignment="1" applyProtection="1">
      <alignment horizontal="left" vertical="center" indent="1"/>
      <protection locked="0"/>
    </xf>
    <xf numFmtId="0" fontId="12" fillId="2" borderId="4" xfId="2" applyFont="1" applyFill="1" applyBorder="1" applyAlignment="1" applyProtection="1">
      <alignment horizontal="left" vertical="center" indent="1"/>
      <protection locked="0"/>
    </xf>
    <xf numFmtId="0" fontId="12" fillId="0" borderId="0" xfId="0" applyFont="1" applyFill="1" applyBorder="1" applyAlignment="1" applyProtection="1">
      <alignment horizontal="left" vertical="top" wrapText="1"/>
    </xf>
    <xf numFmtId="0" fontId="29" fillId="2" borderId="24" xfId="0" applyFont="1" applyFill="1" applyBorder="1" applyAlignment="1" applyProtection="1">
      <alignment horizontal="left" vertical="top" wrapText="1"/>
      <protection locked="0"/>
    </xf>
    <xf numFmtId="0" fontId="29" fillId="2" borderId="0" xfId="0" applyFont="1" applyFill="1" applyBorder="1" applyAlignment="1" applyProtection="1">
      <alignment horizontal="left" vertical="top" wrapText="1"/>
      <protection locked="0"/>
    </xf>
    <xf numFmtId="0" fontId="29" fillId="2" borderId="25"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center" indent="1"/>
      <protection locked="0"/>
    </xf>
    <xf numFmtId="49" fontId="20" fillId="2" borderId="2" xfId="0" applyNumberFormat="1" applyFont="1" applyFill="1" applyBorder="1" applyAlignment="1" applyProtection="1">
      <alignment horizontal="left" vertical="center" indent="1"/>
      <protection locked="0"/>
    </xf>
    <xf numFmtId="49" fontId="20" fillId="2" borderId="3" xfId="0" applyNumberFormat="1" applyFont="1" applyFill="1" applyBorder="1" applyAlignment="1" applyProtection="1">
      <alignment horizontal="left" vertical="center" indent="1"/>
      <protection locked="0"/>
    </xf>
    <xf numFmtId="49" fontId="20" fillId="2" borderId="4" xfId="0" applyNumberFormat="1" applyFont="1" applyFill="1" applyBorder="1" applyAlignment="1" applyProtection="1">
      <alignment horizontal="left" vertical="center" indent="1"/>
      <protection locked="0"/>
    </xf>
    <xf numFmtId="0" fontId="14" fillId="2" borderId="3" xfId="0" applyFont="1" applyFill="1" applyBorder="1" applyAlignment="1" applyProtection="1">
      <alignment horizontal="left" vertical="center" indent="1"/>
      <protection locked="0"/>
    </xf>
    <xf numFmtId="0" fontId="14" fillId="2" borderId="4" xfId="0" applyFont="1" applyFill="1" applyBorder="1" applyAlignment="1" applyProtection="1">
      <alignment horizontal="left" vertical="center" indent="1"/>
      <protection locked="0"/>
    </xf>
    <xf numFmtId="167" fontId="20" fillId="2" borderId="2" xfId="0" applyNumberFormat="1" applyFont="1" applyFill="1" applyBorder="1" applyAlignment="1" applyProtection="1">
      <alignment horizontal="left" vertical="center" indent="1"/>
      <protection locked="0"/>
    </xf>
    <xf numFmtId="167" fontId="14" fillId="2" borderId="3" xfId="0" applyNumberFormat="1" applyFont="1" applyFill="1" applyBorder="1" applyAlignment="1" applyProtection="1">
      <alignment horizontal="left" vertical="center" indent="1"/>
      <protection locked="0"/>
    </xf>
    <xf numFmtId="167" fontId="14" fillId="2" borderId="4" xfId="0" applyNumberFormat="1" applyFont="1" applyFill="1" applyBorder="1" applyAlignment="1" applyProtection="1">
      <alignment horizontal="left" vertical="center" indent="1"/>
      <protection locked="0"/>
    </xf>
    <xf numFmtId="0" fontId="23" fillId="0" borderId="0" xfId="0" applyNumberFormat="1" applyFont="1" applyFill="1" applyAlignment="1" applyProtection="1">
      <alignment horizontal="left" vertical="center" indent="1"/>
    </xf>
    <xf numFmtId="0" fontId="22" fillId="0" borderId="0" xfId="0" applyNumberFormat="1" applyFont="1" applyFill="1" applyAlignment="1" applyProtection="1">
      <alignment horizontal="left" vertical="center" indent="1"/>
    </xf>
    <xf numFmtId="0" fontId="23" fillId="0" borderId="0" xfId="0" applyNumberFormat="1" applyFont="1" applyFill="1" applyBorder="1" applyAlignment="1" applyProtection="1">
      <alignment horizontal="left" vertical="center" indent="1"/>
    </xf>
    <xf numFmtId="0" fontId="22" fillId="0" borderId="0" xfId="0" applyNumberFormat="1" applyFont="1" applyFill="1" applyBorder="1" applyAlignment="1" applyProtection="1">
      <alignment horizontal="left" vertical="center" indent="1"/>
    </xf>
    <xf numFmtId="14" fontId="20" fillId="2" borderId="2" xfId="0" applyNumberFormat="1" applyFont="1" applyFill="1" applyBorder="1" applyAlignment="1" applyProtection="1">
      <alignment horizontal="center" vertical="center" wrapText="1"/>
      <protection locked="0"/>
    </xf>
    <xf numFmtId="0" fontId="20" fillId="2" borderId="3" xfId="0" applyNumberFormat="1" applyFont="1" applyFill="1" applyBorder="1" applyAlignment="1" applyProtection="1">
      <alignment horizontal="center" vertical="center" wrapText="1"/>
      <protection locked="0"/>
    </xf>
    <xf numFmtId="0" fontId="20" fillId="2" borderId="4" xfId="0" applyNumberFormat="1" applyFont="1" applyFill="1" applyBorder="1" applyAlignment="1" applyProtection="1">
      <alignment horizontal="center" vertical="center" wrapText="1"/>
      <protection locked="0"/>
    </xf>
    <xf numFmtId="169" fontId="20" fillId="2" borderId="2" xfId="0" applyNumberFormat="1" applyFont="1" applyFill="1" applyBorder="1" applyAlignment="1" applyProtection="1">
      <alignment horizontal="center" vertical="center" wrapText="1"/>
      <protection locked="0"/>
    </xf>
    <xf numFmtId="169" fontId="20" fillId="2" borderId="3" xfId="0" applyNumberFormat="1" applyFont="1" applyFill="1" applyBorder="1" applyAlignment="1" applyProtection="1">
      <alignment horizontal="center" vertical="center" wrapText="1"/>
      <protection locked="0"/>
    </xf>
    <xf numFmtId="169" fontId="20" fillId="2" borderId="4" xfId="0" applyNumberFormat="1" applyFont="1" applyFill="1" applyBorder="1" applyAlignment="1" applyProtection="1">
      <alignment horizontal="center" vertical="center" wrapText="1"/>
      <protection locked="0"/>
    </xf>
    <xf numFmtId="0" fontId="22" fillId="14" borderId="1" xfId="0" applyFont="1" applyFill="1" applyBorder="1" applyAlignment="1" applyProtection="1">
      <alignment horizontal="left" vertical="center" indent="1"/>
    </xf>
    <xf numFmtId="0" fontId="25" fillId="14" borderId="1" xfId="0" applyFont="1" applyFill="1" applyBorder="1" applyAlignment="1" applyProtection="1">
      <alignment horizontal="left" vertical="center" indent="1"/>
    </xf>
    <xf numFmtId="0" fontId="25" fillId="14" borderId="1" xfId="0" applyFont="1" applyFill="1" applyBorder="1" applyAlignment="1" applyProtection="1">
      <alignment horizontal="center" vertical="center"/>
    </xf>
    <xf numFmtId="0" fontId="20" fillId="2" borderId="2" xfId="0" applyNumberFormat="1" applyFont="1" applyFill="1" applyBorder="1" applyAlignment="1" applyProtection="1">
      <alignment horizontal="left" vertical="center" indent="1"/>
      <protection locked="0"/>
    </xf>
    <xf numFmtId="0" fontId="20" fillId="2" borderId="3" xfId="0" applyNumberFormat="1" applyFont="1" applyFill="1" applyBorder="1" applyAlignment="1" applyProtection="1">
      <alignment horizontal="left" vertical="center" indent="1"/>
      <protection locked="0"/>
    </xf>
    <xf numFmtId="0" fontId="20" fillId="0" borderId="0" xfId="0" applyFont="1" applyFill="1" applyAlignment="1" applyProtection="1">
      <alignment horizontal="center" vertical="center" wrapText="1"/>
    </xf>
    <xf numFmtId="0" fontId="20" fillId="0" borderId="0" xfId="0" applyFont="1" applyFill="1" applyAlignment="1" applyProtection="1">
      <alignment horizontal="center" vertical="center"/>
    </xf>
    <xf numFmtId="0" fontId="14" fillId="14" borderId="34" xfId="0" applyFont="1" applyFill="1" applyBorder="1" applyAlignment="1" applyProtection="1">
      <alignment horizontal="center"/>
    </xf>
    <xf numFmtId="0" fontId="14" fillId="14" borderId="35" xfId="0" applyFont="1" applyFill="1" applyBorder="1" applyAlignment="1" applyProtection="1">
      <alignment horizontal="center"/>
    </xf>
    <xf numFmtId="0" fontId="14" fillId="14" borderId="36" xfId="0" applyFont="1" applyFill="1" applyBorder="1" applyAlignment="1" applyProtection="1">
      <alignment horizontal="center"/>
    </xf>
    <xf numFmtId="0" fontId="24" fillId="0" borderId="0"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14" fillId="2" borderId="3" xfId="0" applyNumberFormat="1" applyFont="1" applyFill="1" applyBorder="1" applyAlignment="1" applyProtection="1">
      <alignment horizontal="left" vertical="center" indent="1"/>
      <protection locked="0"/>
    </xf>
    <xf numFmtId="0" fontId="14" fillId="2" borderId="4" xfId="0" applyNumberFormat="1" applyFont="1" applyFill="1" applyBorder="1" applyAlignment="1" applyProtection="1">
      <alignment horizontal="left" vertical="center" indent="1"/>
      <protection locked="0"/>
    </xf>
    <xf numFmtId="0" fontId="17" fillId="2" borderId="3" xfId="2" applyFont="1" applyFill="1" applyBorder="1" applyAlignment="1" applyProtection="1">
      <alignment horizontal="left" vertical="center" indent="1"/>
      <protection locked="0"/>
    </xf>
    <xf numFmtId="0" fontId="17" fillId="2" borderId="4" xfId="2" applyFont="1" applyFill="1" applyBorder="1" applyAlignment="1" applyProtection="1">
      <alignment horizontal="left" vertical="center" indent="1"/>
      <protection locked="0"/>
    </xf>
    <xf numFmtId="49" fontId="14" fillId="2" borderId="3" xfId="0" applyNumberFormat="1" applyFont="1" applyFill="1" applyBorder="1" applyAlignment="1" applyProtection="1">
      <alignment horizontal="left" vertical="center" indent="1"/>
      <protection locked="0"/>
    </xf>
    <xf numFmtId="49" fontId="14" fillId="2" borderId="4" xfId="0" applyNumberFormat="1" applyFont="1" applyFill="1" applyBorder="1" applyAlignment="1" applyProtection="1">
      <alignment horizontal="left" vertical="center" indent="1"/>
      <protection locked="0"/>
    </xf>
    <xf numFmtId="0" fontId="34" fillId="0" borderId="9" xfId="0" applyFont="1" applyFill="1" applyBorder="1" applyAlignment="1" applyProtection="1">
      <alignment horizontal="center" vertical="center" shrinkToFit="1"/>
    </xf>
    <xf numFmtId="0" fontId="19" fillId="0" borderId="9" xfId="0" applyFont="1" applyFill="1" applyBorder="1" applyAlignment="1" applyProtection="1">
      <alignment horizontal="center" vertical="center" shrinkToFit="1"/>
    </xf>
    <xf numFmtId="0" fontId="23" fillId="0" borderId="0" xfId="0" applyNumberFormat="1" applyFont="1" applyFill="1" applyAlignment="1" applyProtection="1">
      <alignment horizontal="left" vertical="center"/>
    </xf>
    <xf numFmtId="0" fontId="22" fillId="0" borderId="0" xfId="0" applyNumberFormat="1" applyFont="1" applyFill="1" applyAlignment="1" applyProtection="1">
      <alignment horizontal="left" vertical="center"/>
    </xf>
    <xf numFmtId="0" fontId="14" fillId="0" borderId="3" xfId="0" applyFont="1" applyBorder="1" applyProtection="1">
      <protection locked="0"/>
    </xf>
    <xf numFmtId="0" fontId="14" fillId="0" borderId="4" xfId="0" applyFont="1" applyBorder="1" applyProtection="1">
      <protection locked="0"/>
    </xf>
    <xf numFmtId="0" fontId="18" fillId="17" borderId="2" xfId="0" applyFont="1" applyFill="1" applyBorder="1" applyAlignment="1" applyProtection="1">
      <alignment horizontal="center" vertical="center"/>
    </xf>
    <xf numFmtId="0" fontId="20" fillId="17" borderId="3" xfId="0" applyFont="1" applyFill="1" applyBorder="1" applyAlignment="1" applyProtection="1">
      <alignment horizontal="center" vertical="center"/>
    </xf>
    <xf numFmtId="0" fontId="20" fillId="17" borderId="4" xfId="0" applyFont="1" applyFill="1" applyBorder="1" applyAlignment="1" applyProtection="1">
      <alignment horizontal="center" vertical="center"/>
    </xf>
    <xf numFmtId="0" fontId="22" fillId="14" borderId="2" xfId="0" applyFont="1" applyFill="1" applyBorder="1" applyAlignment="1" applyProtection="1">
      <alignment horizontal="center" vertical="center"/>
    </xf>
    <xf numFmtId="0" fontId="22" fillId="14" borderId="3" xfId="0" applyFont="1" applyFill="1" applyBorder="1" applyAlignment="1" applyProtection="1">
      <alignment horizontal="center" vertical="center"/>
    </xf>
    <xf numFmtId="0" fontId="22" fillId="14" borderId="4" xfId="0" applyFont="1" applyFill="1" applyBorder="1" applyAlignment="1" applyProtection="1">
      <alignment horizontal="center" vertical="center"/>
    </xf>
    <xf numFmtId="44" fontId="20" fillId="2" borderId="2" xfId="0" applyNumberFormat="1" applyFont="1" applyFill="1" applyBorder="1" applyAlignment="1" applyProtection="1">
      <alignment horizontal="center" vertical="center"/>
      <protection locked="0"/>
    </xf>
    <xf numFmtId="44" fontId="20" fillId="2" borderId="3" xfId="0" applyNumberFormat="1" applyFont="1" applyFill="1" applyBorder="1" applyAlignment="1" applyProtection="1">
      <alignment horizontal="center" vertical="center"/>
      <protection locked="0"/>
    </xf>
    <xf numFmtId="0" fontId="16" fillId="21" borderId="2" xfId="0" applyFont="1" applyFill="1" applyBorder="1" applyAlignment="1" applyProtection="1">
      <alignment horizontal="left" vertical="center" indent="1"/>
    </xf>
    <xf numFmtId="0" fontId="16" fillId="21" borderId="3" xfId="0" applyFont="1" applyFill="1" applyBorder="1" applyAlignment="1" applyProtection="1">
      <alignment horizontal="left" vertical="center" indent="1"/>
    </xf>
    <xf numFmtId="0" fontId="16" fillId="21" borderId="4" xfId="0" applyFont="1" applyFill="1" applyBorder="1" applyAlignment="1" applyProtection="1">
      <alignment horizontal="left" vertical="center" indent="1"/>
    </xf>
    <xf numFmtId="0" fontId="12" fillId="0" borderId="3" xfId="0" applyFont="1" applyBorder="1" applyAlignment="1" applyProtection="1">
      <alignment horizontal="left" vertical="center" wrapText="1" indent="1"/>
    </xf>
    <xf numFmtId="0" fontId="12" fillId="0" borderId="4" xfId="0" applyFont="1" applyBorder="1" applyAlignment="1" applyProtection="1">
      <alignment horizontal="left" vertical="center" wrapText="1" indent="1"/>
    </xf>
    <xf numFmtId="0" fontId="21" fillId="14" borderId="15" xfId="0" applyFont="1" applyFill="1" applyBorder="1" applyAlignment="1" applyProtection="1">
      <alignment horizontal="left" vertical="center" indent="1"/>
    </xf>
    <xf numFmtId="0" fontId="21" fillId="14" borderId="5" xfId="0" applyFont="1" applyFill="1" applyBorder="1" applyAlignment="1" applyProtection="1">
      <alignment horizontal="left" vertical="center" indent="1"/>
    </xf>
    <xf numFmtId="0" fontId="21" fillId="14" borderId="16" xfId="0" applyFont="1" applyFill="1" applyBorder="1" applyAlignment="1" applyProtection="1">
      <alignment horizontal="left" vertical="center" indent="1"/>
    </xf>
    <xf numFmtId="0" fontId="18" fillId="0" borderId="1" xfId="0" applyFont="1" applyFill="1" applyBorder="1" applyAlignment="1" applyProtection="1">
      <alignment horizontal="left" vertical="top" wrapText="1"/>
    </xf>
    <xf numFmtId="0" fontId="20" fillId="14" borderId="1" xfId="0" applyFont="1" applyFill="1" applyBorder="1" applyAlignment="1" applyProtection="1">
      <alignment horizontal="left" vertical="top" wrapText="1" indent="1"/>
    </xf>
    <xf numFmtId="169" fontId="12" fillId="0" borderId="2" xfId="0" applyNumberFormat="1" applyFont="1" applyBorder="1" applyAlignment="1" applyProtection="1">
      <alignment horizontal="left" vertical="center" indent="1"/>
    </xf>
    <xf numFmtId="169" fontId="12" fillId="0" borderId="4" xfId="0" applyNumberFormat="1" applyFont="1" applyBorder="1" applyAlignment="1" applyProtection="1">
      <alignment horizontal="left" vertical="center" indent="1"/>
    </xf>
    <xf numFmtId="0" fontId="21" fillId="14" borderId="2" xfId="0" applyFont="1" applyFill="1" applyBorder="1" applyAlignment="1" applyProtection="1">
      <alignment horizontal="left" vertical="center" indent="1"/>
    </xf>
    <xf numFmtId="0" fontId="21" fillId="14" borderId="3" xfId="0" applyFont="1" applyFill="1" applyBorder="1" applyAlignment="1" applyProtection="1">
      <alignment horizontal="left" vertical="center" indent="1"/>
    </xf>
    <xf numFmtId="0" fontId="21" fillId="14" borderId="4" xfId="0" applyFont="1" applyFill="1" applyBorder="1" applyAlignment="1" applyProtection="1">
      <alignment horizontal="left" vertical="center" indent="1"/>
    </xf>
    <xf numFmtId="0" fontId="22" fillId="14" borderId="3" xfId="0" applyFont="1" applyFill="1" applyBorder="1" applyAlignment="1" applyProtection="1">
      <alignment horizontal="right" vertical="center" indent="1"/>
    </xf>
    <xf numFmtId="0" fontId="22" fillId="14" borderId="4" xfId="0" applyFont="1" applyFill="1" applyBorder="1" applyAlignment="1" applyProtection="1">
      <alignment horizontal="right" vertical="center" indent="1"/>
    </xf>
    <xf numFmtId="0" fontId="12" fillId="0" borderId="1" xfId="0" applyFont="1" applyFill="1" applyBorder="1" applyAlignment="1" applyProtection="1">
      <alignment horizontal="left" vertical="center" wrapText="1" indent="2"/>
    </xf>
    <xf numFmtId="0" fontId="21" fillId="14" borderId="2" xfId="0" applyFont="1" applyFill="1" applyBorder="1" applyAlignment="1" applyProtection="1">
      <alignment horizontal="left" vertical="center" wrapText="1"/>
    </xf>
    <xf numFmtId="0" fontId="21" fillId="14" borderId="3" xfId="0" applyFont="1" applyFill="1" applyBorder="1" applyAlignment="1" applyProtection="1">
      <alignment horizontal="left" vertical="center" wrapText="1"/>
    </xf>
    <xf numFmtId="0" fontId="21" fillId="14" borderId="4" xfId="0" applyFont="1" applyFill="1" applyBorder="1" applyAlignment="1" applyProtection="1">
      <alignment horizontal="left" vertical="center" wrapText="1"/>
    </xf>
    <xf numFmtId="0" fontId="20" fillId="2" borderId="1"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indent="2"/>
    </xf>
    <xf numFmtId="0" fontId="20" fillId="2" borderId="2" xfId="0" applyFont="1" applyFill="1" applyBorder="1" applyAlignment="1" applyProtection="1">
      <alignment horizontal="left" vertical="center" wrapText="1"/>
      <protection locked="0"/>
    </xf>
    <xf numFmtId="0" fontId="0" fillId="2" borderId="4" xfId="0" applyFill="1" applyBorder="1" applyAlignment="1" applyProtection="1">
      <alignment vertical="center" wrapText="1"/>
      <protection locked="0"/>
    </xf>
    <xf numFmtId="0" fontId="21" fillId="6" borderId="2" xfId="0" applyFont="1" applyFill="1" applyBorder="1" applyAlignment="1" applyProtection="1">
      <alignment horizontal="left" vertical="center" indent="1"/>
    </xf>
    <xf numFmtId="0" fontId="21" fillId="6" borderId="3" xfId="0" applyFont="1" applyFill="1" applyBorder="1" applyAlignment="1" applyProtection="1">
      <alignment horizontal="left" vertical="center" indent="1"/>
    </xf>
    <xf numFmtId="0" fontId="21" fillId="6" borderId="4" xfId="0" applyFont="1" applyFill="1" applyBorder="1" applyAlignment="1" applyProtection="1">
      <alignment horizontal="left" vertical="center" indent="1"/>
    </xf>
    <xf numFmtId="37" fontId="20" fillId="2" borderId="2" xfId="0" applyNumberFormat="1" applyFont="1" applyFill="1" applyBorder="1" applyAlignment="1" applyProtection="1">
      <alignment horizontal="right" vertical="center"/>
      <protection locked="0"/>
    </xf>
    <xf numFmtId="37" fontId="20" fillId="2" borderId="4" xfId="0" applyNumberFormat="1" applyFont="1" applyFill="1" applyBorder="1" applyAlignment="1" applyProtection="1">
      <alignment horizontal="right" vertical="center"/>
      <protection locked="0"/>
    </xf>
    <xf numFmtId="0" fontId="24" fillId="0" borderId="24" xfId="0" applyFont="1" applyFill="1" applyBorder="1" applyAlignment="1" applyProtection="1">
      <alignment horizontal="center" vertical="center"/>
    </xf>
    <xf numFmtId="0" fontId="24" fillId="0" borderId="25" xfId="0" applyFont="1" applyFill="1" applyBorder="1" applyAlignment="1" applyProtection="1">
      <alignment horizontal="center" vertical="center"/>
    </xf>
    <xf numFmtId="0" fontId="21" fillId="14" borderId="30" xfId="0" applyFont="1" applyFill="1" applyBorder="1" applyAlignment="1" applyProtection="1">
      <alignment horizontal="left" vertical="center" indent="1"/>
    </xf>
    <xf numFmtId="0" fontId="21" fillId="14" borderId="2" xfId="0" applyFont="1" applyFill="1" applyBorder="1" applyAlignment="1" applyProtection="1">
      <alignment horizontal="left" indent="2"/>
    </xf>
    <xf numFmtId="0" fontId="21" fillId="14" borderId="3" xfId="0" applyFont="1" applyFill="1" applyBorder="1" applyAlignment="1" applyProtection="1">
      <alignment horizontal="left" indent="2"/>
    </xf>
    <xf numFmtId="0" fontId="21" fillId="14" borderId="4" xfId="0" applyFont="1" applyFill="1" applyBorder="1" applyAlignment="1" applyProtection="1">
      <alignment horizontal="left" indent="2"/>
    </xf>
    <xf numFmtId="169" fontId="21" fillId="13" borderId="3" xfId="0" applyNumberFormat="1" applyFont="1" applyFill="1" applyBorder="1" applyAlignment="1" applyProtection="1">
      <alignment horizontal="center" vertical="center"/>
    </xf>
    <xf numFmtId="169" fontId="21" fillId="13" borderId="4" xfId="0" applyNumberFormat="1" applyFont="1" applyFill="1" applyBorder="1" applyAlignment="1" applyProtection="1">
      <alignment horizontal="center" vertical="center"/>
    </xf>
    <xf numFmtId="169" fontId="21" fillId="13" borderId="2" xfId="0" applyNumberFormat="1" applyFont="1" applyFill="1" applyBorder="1" applyAlignment="1" applyProtection="1">
      <alignment horizontal="center" vertical="center"/>
    </xf>
    <xf numFmtId="43" fontId="22" fillId="14" borderId="2" xfId="0" applyNumberFormat="1" applyFont="1" applyFill="1" applyBorder="1" applyAlignment="1" applyProtection="1">
      <alignment horizontal="center" vertical="center" wrapText="1"/>
    </xf>
    <xf numFmtId="43" fontId="22" fillId="14" borderId="4" xfId="0" applyNumberFormat="1" applyFont="1" applyFill="1" applyBorder="1" applyAlignment="1" applyProtection="1">
      <alignment horizontal="center" vertical="center" wrapText="1"/>
    </xf>
    <xf numFmtId="0" fontId="30" fillId="0" borderId="15" xfId="0" applyFont="1" applyFill="1" applyBorder="1" applyAlignment="1" applyProtection="1">
      <alignment horizontal="left" vertical="center" indent="1"/>
    </xf>
    <xf numFmtId="0" fontId="30" fillId="0" borderId="5" xfId="0" applyFont="1" applyFill="1" applyBorder="1" applyAlignment="1" applyProtection="1">
      <alignment horizontal="left" vertical="center" indent="1"/>
    </xf>
    <xf numFmtId="0" fontId="30" fillId="0" borderId="16" xfId="0" applyFont="1" applyFill="1" applyBorder="1" applyAlignment="1" applyProtection="1">
      <alignment horizontal="left" vertical="center" indent="1"/>
    </xf>
    <xf numFmtId="0" fontId="12" fillId="0" borderId="2" xfId="0" applyFont="1" applyFill="1" applyBorder="1" applyAlignment="1" applyProtection="1">
      <alignment horizontal="left" vertical="center" wrapText="1" indent="2"/>
    </xf>
    <xf numFmtId="0" fontId="12" fillId="0" borderId="3" xfId="0" applyFont="1" applyFill="1" applyBorder="1" applyAlignment="1" applyProtection="1">
      <alignment horizontal="left" vertical="center" wrapText="1" indent="2"/>
    </xf>
    <xf numFmtId="0" fontId="12" fillId="0" borderId="4" xfId="0" applyFont="1" applyFill="1" applyBorder="1" applyAlignment="1" applyProtection="1">
      <alignment horizontal="left" vertical="center" wrapText="1" indent="2"/>
    </xf>
    <xf numFmtId="0" fontId="20" fillId="2" borderId="13" xfId="0" applyFont="1" applyFill="1" applyBorder="1" applyAlignment="1" applyProtection="1">
      <alignment horizontal="left" vertical="center" wrapText="1"/>
      <protection locked="0"/>
    </xf>
    <xf numFmtId="5" fontId="21" fillId="20" borderId="2" xfId="0" applyNumberFormat="1" applyFont="1" applyFill="1" applyBorder="1" applyAlignment="1" applyProtection="1">
      <alignment horizontal="right"/>
    </xf>
    <xf numFmtId="5" fontId="21" fillId="20" borderId="4" xfId="0" applyNumberFormat="1" applyFont="1" applyFill="1" applyBorder="1" applyAlignment="1" applyProtection="1">
      <alignment horizontal="right"/>
    </xf>
    <xf numFmtId="0" fontId="24" fillId="0" borderId="9" xfId="0" applyFont="1" applyFill="1" applyBorder="1" applyAlignment="1" applyProtection="1">
      <alignment horizontal="center" vertical="center"/>
    </xf>
    <xf numFmtId="0" fontId="29" fillId="0" borderId="1" xfId="0" applyFont="1" applyBorder="1" applyAlignment="1" applyProtection="1">
      <alignment horizontal="left" vertical="center"/>
    </xf>
    <xf numFmtId="0" fontId="19" fillId="13" borderId="2" xfId="0" applyFont="1" applyFill="1" applyBorder="1" applyAlignment="1" applyProtection="1">
      <alignment horizontal="center" vertical="center"/>
    </xf>
    <xf numFmtId="0" fontId="19" fillId="13" borderId="3" xfId="0" applyFont="1" applyFill="1" applyBorder="1" applyAlignment="1" applyProtection="1">
      <alignment horizontal="center" vertical="center"/>
    </xf>
    <xf numFmtId="0" fontId="19" fillId="13" borderId="4" xfId="0" applyFont="1" applyFill="1" applyBorder="1" applyAlignment="1" applyProtection="1">
      <alignment horizontal="center" vertical="center"/>
    </xf>
    <xf numFmtId="0" fontId="21" fillId="14" borderId="1" xfId="0" applyFont="1" applyFill="1" applyBorder="1" applyAlignment="1" applyProtection="1">
      <alignment horizontal="left" wrapText="1" indent="1"/>
    </xf>
    <xf numFmtId="1" fontId="20" fillId="2" borderId="21" xfId="0" applyNumberFormat="1" applyFont="1" applyFill="1" applyBorder="1" applyAlignment="1" applyProtection="1">
      <alignment horizontal="right" vertical="center" indent="1"/>
      <protection locked="0"/>
    </xf>
    <xf numFmtId="0" fontId="20" fillId="2" borderId="21" xfId="0" applyFont="1" applyFill="1" applyBorder="1" applyAlignment="1" applyProtection="1">
      <alignment horizontal="right" vertical="center" indent="1"/>
      <protection locked="0"/>
    </xf>
    <xf numFmtId="168" fontId="20" fillId="2" borderId="21" xfId="0" applyNumberFormat="1" applyFont="1" applyFill="1" applyBorder="1" applyAlignment="1" applyProtection="1">
      <alignment horizontal="right" vertical="center" indent="1"/>
      <protection locked="0"/>
    </xf>
    <xf numFmtId="14" fontId="20" fillId="2" borderId="21" xfId="0" applyNumberFormat="1" applyFont="1" applyFill="1" applyBorder="1" applyAlignment="1" applyProtection="1">
      <alignment horizontal="right" vertical="center" indent="1"/>
      <protection locked="0"/>
    </xf>
    <xf numFmtId="0" fontId="18" fillId="2" borderId="14" xfId="0" applyFont="1" applyFill="1" applyBorder="1" applyAlignment="1" applyProtection="1">
      <alignment horizontal="left" vertical="top" wrapText="1"/>
      <protection locked="0"/>
    </xf>
    <xf numFmtId="0" fontId="18" fillId="2" borderId="9" xfId="0" applyFont="1" applyFill="1" applyBorder="1" applyAlignment="1" applyProtection="1">
      <alignment horizontal="left" vertical="top" wrapText="1"/>
      <protection locked="0"/>
    </xf>
    <xf numFmtId="0" fontId="18" fillId="2" borderId="12" xfId="0" applyFont="1" applyFill="1" applyBorder="1" applyAlignment="1" applyProtection="1">
      <alignment horizontal="left" vertical="top" wrapText="1"/>
      <protection locked="0"/>
    </xf>
    <xf numFmtId="0" fontId="18" fillId="2" borderId="24" xfId="0" applyFont="1" applyFill="1" applyBorder="1" applyAlignment="1" applyProtection="1">
      <alignment horizontal="left" vertical="top" wrapText="1"/>
      <protection locked="0"/>
    </xf>
    <xf numFmtId="0" fontId="18" fillId="2" borderId="0" xfId="0" applyFont="1" applyFill="1" applyBorder="1" applyAlignment="1" applyProtection="1">
      <alignment horizontal="left" vertical="top" wrapText="1"/>
      <protection locked="0"/>
    </xf>
    <xf numFmtId="0" fontId="18" fillId="2" borderId="25" xfId="0" applyFont="1" applyFill="1" applyBorder="1" applyAlignment="1" applyProtection="1">
      <alignment horizontal="left" vertical="top" wrapText="1"/>
      <protection locked="0"/>
    </xf>
    <xf numFmtId="0" fontId="18" fillId="2" borderId="15" xfId="0" applyFont="1" applyFill="1" applyBorder="1" applyAlignment="1" applyProtection="1">
      <alignment horizontal="left" vertical="top" wrapText="1"/>
      <protection locked="0"/>
    </xf>
    <xf numFmtId="0" fontId="18" fillId="2" borderId="5" xfId="0" applyFont="1" applyFill="1" applyBorder="1" applyAlignment="1" applyProtection="1">
      <alignment horizontal="left" vertical="top" wrapText="1"/>
      <protection locked="0"/>
    </xf>
    <xf numFmtId="0" fontId="18" fillId="2" borderId="16" xfId="0" applyFont="1" applyFill="1" applyBorder="1" applyAlignment="1" applyProtection="1">
      <alignment horizontal="left" vertical="top" wrapText="1"/>
      <protection locked="0"/>
    </xf>
    <xf numFmtId="0" fontId="18" fillId="2" borderId="2" xfId="0" applyFont="1" applyFill="1" applyBorder="1" applyAlignment="1" applyProtection="1">
      <alignment horizontal="left" vertical="center" indent="1"/>
      <protection locked="0"/>
    </xf>
    <xf numFmtId="0" fontId="18" fillId="2" borderId="3" xfId="0" applyFont="1" applyFill="1" applyBorder="1" applyAlignment="1" applyProtection="1">
      <alignment horizontal="left" vertical="center" indent="1"/>
      <protection locked="0"/>
    </xf>
    <xf numFmtId="0" fontId="18" fillId="2" borderId="4" xfId="0" applyFont="1" applyFill="1" applyBorder="1" applyAlignment="1" applyProtection="1">
      <alignment horizontal="left" vertical="center" indent="1"/>
      <protection locked="0"/>
    </xf>
  </cellXfs>
  <cellStyles count="8">
    <cellStyle name="Comma 2" xfId="6" xr:uid="{00000000-0005-0000-0000-000000000000}"/>
    <cellStyle name="Currency" xfId="1" builtinId="4"/>
    <cellStyle name="Currency 2" xfId="7" xr:uid="{00000000-0005-0000-0000-000002000000}"/>
    <cellStyle name="Hyperlink" xfId="2" builtinId="8"/>
    <cellStyle name="Normal" xfId="0" builtinId="0"/>
    <cellStyle name="Normal 2" xfId="4" xr:uid="{00000000-0005-0000-0000-000005000000}"/>
    <cellStyle name="Percent" xfId="3" builtinId="5"/>
    <cellStyle name="Percent 2" xfId="5" xr:uid="{00000000-0005-0000-0000-000007000000}"/>
  </cellStyles>
  <dxfs count="166">
    <dxf>
      <font>
        <b val="0"/>
        <i val="0"/>
        <color theme="0"/>
      </font>
      <fill>
        <patternFill>
          <bgColor theme="6" tint="-0.24994659260841701"/>
        </patternFill>
      </fill>
    </dxf>
    <dxf>
      <font>
        <b val="0"/>
        <i val="0"/>
        <color theme="0"/>
      </font>
      <fill>
        <patternFill>
          <bgColor theme="6" tint="-0.24994659260841701"/>
        </patternFill>
      </fill>
    </dxf>
    <dxf>
      <font>
        <b val="0"/>
        <i val="0"/>
        <color theme="0"/>
      </font>
      <fill>
        <patternFill>
          <bgColor theme="6" tint="-0.24994659260841701"/>
        </patternFill>
      </fill>
    </dxf>
    <dxf>
      <font>
        <b val="0"/>
        <i val="0"/>
        <color theme="0"/>
      </font>
      <fill>
        <patternFill>
          <bgColor theme="6" tint="-0.24994659260841701"/>
        </patternFill>
      </fill>
    </dxf>
    <dxf>
      <font>
        <b val="0"/>
        <i val="0"/>
        <color theme="0"/>
      </font>
      <fill>
        <patternFill>
          <bgColor theme="6" tint="-0.24994659260841701"/>
        </patternFill>
      </fill>
    </dxf>
    <dxf>
      <font>
        <b val="0"/>
        <i val="0"/>
        <color theme="0"/>
      </font>
      <fill>
        <patternFill>
          <bgColor theme="6" tint="-0.24994659260841701"/>
        </patternFill>
      </fill>
    </dxf>
    <dxf>
      <font>
        <color rgb="FFFF0000"/>
      </font>
      <fill>
        <patternFill>
          <bgColor theme="5" tint="0.79998168889431442"/>
        </patternFill>
      </fill>
    </dxf>
    <dxf>
      <font>
        <color rgb="FFFF0000"/>
      </font>
      <fill>
        <patternFill>
          <bgColor theme="5" tint="0.79998168889431442"/>
        </patternFill>
      </fill>
    </dxf>
    <dxf>
      <font>
        <b/>
        <i val="0"/>
        <color theme="0"/>
      </font>
      <fill>
        <patternFill>
          <bgColor theme="5" tint="-0.24994659260841701"/>
        </patternFill>
      </fill>
    </dxf>
    <dxf>
      <font>
        <b/>
        <i val="0"/>
        <color theme="0"/>
      </font>
      <fill>
        <patternFill>
          <bgColor theme="5" tint="-0.24994659260841701"/>
        </patternFill>
      </fill>
    </dxf>
    <dxf>
      <fill>
        <patternFill>
          <bgColor rgb="FFF7EAE9"/>
        </patternFill>
      </fill>
    </dxf>
    <dxf>
      <fill>
        <patternFill>
          <bgColor rgb="FFF0F5E7"/>
        </patternFill>
      </fill>
    </dxf>
    <dxf>
      <fill>
        <patternFill patternType="lightUp">
          <fgColor theme="0" tint="-0.34998626667073579"/>
          <bgColor theme="0" tint="-0.14996795556505021"/>
        </patternFill>
      </fill>
    </dxf>
    <dxf>
      <fill>
        <patternFill patternType="lightUp">
          <fgColor theme="0" tint="-0.34998626667073579"/>
          <bgColor theme="0" tint="-0.14996795556505021"/>
        </patternFill>
      </fill>
    </dxf>
    <dxf>
      <fill>
        <patternFill patternType="lightUp">
          <fgColor theme="0" tint="-0.34998626667073579"/>
          <bgColor theme="0" tint="-0.14996795556505021"/>
        </patternFill>
      </fill>
    </dxf>
    <dxf>
      <fill>
        <patternFill patternType="lightUp">
          <fgColor theme="0" tint="-0.34998626667073579"/>
          <bgColor theme="0" tint="-0.14996795556505021"/>
        </patternFill>
      </fill>
    </dxf>
    <dxf>
      <fill>
        <patternFill patternType="lightUp">
          <fgColor theme="0" tint="-0.34998626667073579"/>
          <bgColor theme="0" tint="-0.14996795556505021"/>
        </patternFill>
      </fill>
    </dxf>
    <dxf>
      <fill>
        <patternFill patternType="lightUp">
          <fgColor theme="0" tint="-0.34998626667073579"/>
          <bgColor theme="0" tint="-0.14996795556505021"/>
        </patternFill>
      </fill>
    </dxf>
    <dxf>
      <fill>
        <patternFill patternType="lightUp">
          <fgColor theme="0" tint="-0.34998626667073579"/>
          <bgColor theme="0" tint="-0.14996795556505021"/>
        </patternFill>
      </fill>
    </dxf>
    <dxf>
      <fill>
        <patternFill patternType="lightUp">
          <fgColor theme="0" tint="-0.34998626667073579"/>
          <bgColor theme="0" tint="-0.14996795556505021"/>
        </patternFill>
      </fill>
    </dxf>
    <dxf>
      <fill>
        <patternFill patternType="lightUp">
          <fgColor theme="0" tint="-0.24994659260841701"/>
          <bgColor theme="0" tint="-0.14996795556505021"/>
        </patternFill>
      </fill>
    </dxf>
    <dxf>
      <fill>
        <patternFill patternType="lightUp">
          <fgColor theme="0" tint="-0.34998626667073579"/>
          <bgColor theme="0" tint="-0.14996795556505021"/>
        </patternFill>
      </fill>
    </dxf>
    <dxf>
      <fill>
        <patternFill patternType="lightUp">
          <fgColor theme="0" tint="-0.34998626667073579"/>
          <bgColor theme="0" tint="-0.14996795556505021"/>
        </patternFill>
      </fill>
    </dxf>
    <dxf>
      <font>
        <color theme="0"/>
      </font>
      <fill>
        <patternFill patternType="none">
          <bgColor auto="1"/>
        </patternFill>
      </fill>
    </dxf>
    <dxf>
      <fill>
        <patternFill patternType="solid">
          <fgColor auto="1"/>
          <bgColor rgb="FFF7EAE9"/>
        </patternFill>
      </fill>
    </dxf>
    <dxf>
      <fill>
        <patternFill>
          <bgColor rgb="FFF0F5E7"/>
        </patternFill>
      </fill>
    </dxf>
    <dxf>
      <fill>
        <patternFill patternType="lightUp">
          <fgColor theme="0" tint="-0.34998626667073579"/>
          <bgColor theme="0" tint="-0.14996795556505021"/>
        </patternFill>
      </fill>
    </dxf>
    <dxf>
      <font>
        <b/>
        <i val="0"/>
      </font>
      <fill>
        <patternFill>
          <bgColor theme="9" tint="0.79998168889431442"/>
        </patternFill>
      </fill>
      <border>
        <left/>
        <right style="thin">
          <color theme="9" tint="0.39994506668294322"/>
        </right>
        <top style="thin">
          <color theme="9" tint="0.39994506668294322"/>
        </top>
        <bottom style="thin">
          <color theme="9" tint="0.39994506668294322"/>
        </bottom>
      </border>
    </dxf>
    <dxf>
      <fill>
        <patternFill patternType="lightUp">
          <fgColor theme="0" tint="-0.34998626667073579"/>
          <bgColor theme="0" tint="-0.14996795556505021"/>
        </patternFill>
      </fill>
    </dxf>
    <dxf>
      <fill>
        <patternFill patternType="lightUp">
          <fgColor theme="0" tint="-0.34998626667073579"/>
          <bgColor theme="0" tint="-0.14996795556505021"/>
        </patternFill>
      </fill>
    </dxf>
    <dxf>
      <fill>
        <patternFill patternType="lightUp">
          <fgColor theme="0" tint="-0.34998626667073579"/>
          <bgColor theme="0" tint="-0.14996795556505021"/>
        </patternFill>
      </fill>
    </dxf>
    <dxf>
      <fill>
        <patternFill patternType="lightUp">
          <fgColor theme="0" tint="-0.34998626667073579"/>
          <bgColor theme="0" tint="-0.14996795556505021"/>
        </patternFill>
      </fill>
    </dxf>
    <dxf>
      <fill>
        <patternFill patternType="lightUp">
          <fgColor theme="0" tint="-0.34998626667073579"/>
          <bgColor theme="0" tint="-0.14996795556505021"/>
        </patternFill>
      </fill>
    </dxf>
    <dxf>
      <fill>
        <patternFill patternType="lightUp">
          <fgColor theme="0" tint="-0.34998626667073579"/>
          <bgColor theme="0" tint="-0.14996795556505021"/>
        </patternFill>
      </fill>
    </dxf>
    <dxf>
      <fill>
        <patternFill patternType="lightUp">
          <fgColor theme="0" tint="-0.34998626667073579"/>
          <bgColor theme="0" tint="-0.14996795556505021"/>
        </patternFill>
      </fill>
    </dxf>
    <dxf>
      <font>
        <color theme="0"/>
      </font>
    </dxf>
    <dxf>
      <fill>
        <patternFill patternType="lightUp">
          <fgColor theme="0" tint="-0.34998626667073579"/>
          <bgColor theme="0" tint="-0.14996795556505021"/>
        </patternFill>
      </fill>
    </dxf>
    <dxf>
      <font>
        <b/>
        <i val="0"/>
        <color theme="0"/>
      </font>
      <fill>
        <patternFill>
          <bgColor theme="5" tint="-0.24994659260841701"/>
        </patternFill>
      </fill>
      <border>
        <left/>
        <right/>
        <top/>
        <bottom/>
      </border>
    </dxf>
    <dxf>
      <font>
        <b/>
        <i val="0"/>
        <color theme="0"/>
      </font>
      <fill>
        <patternFill>
          <bgColor theme="5" tint="-0.24994659260841701"/>
        </patternFill>
      </fill>
      <border>
        <left/>
        <right/>
        <top/>
        <bottom/>
      </border>
    </dxf>
    <dxf>
      <fill>
        <patternFill>
          <bgColor theme="9" tint="0.79998168889431442"/>
        </patternFill>
      </fill>
      <border>
        <left style="thin">
          <color theme="9" tint="0.39994506668294322"/>
        </left>
        <right/>
        <top style="thin">
          <color theme="9" tint="0.39994506668294322"/>
        </top>
        <bottom style="thin">
          <color theme="9" tint="0.39994506668294322"/>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border outline="0">
        <left style="thin">
          <color theme="9" tint="0.39997558519241921"/>
        </left>
        <right style="thin">
          <color theme="9" tint="0.39997558519241921"/>
        </right>
        <top style="thin">
          <color theme="9" tint="0.39997558519241921"/>
        </top>
        <bottom style="thin">
          <color theme="9" tint="0.39997558519241921"/>
        </bottom>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dxf>
    <dxf>
      <border outline="0">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font>
        <strike val="0"/>
        <outline val="0"/>
        <shadow val="0"/>
        <u val="none"/>
        <vertAlign val="baseline"/>
        <sz val="10"/>
        <color theme="1"/>
        <name val="Calibri"/>
        <scheme val="minor"/>
      </font>
      <numFmt numFmtId="0" formatCode="General"/>
    </dxf>
    <dxf>
      <font>
        <b val="0"/>
        <i val="0"/>
        <strike val="0"/>
        <condense val="0"/>
        <extend val="0"/>
        <outline val="0"/>
        <shadow val="0"/>
        <u val="none"/>
        <vertAlign val="baseline"/>
        <sz val="10"/>
        <color theme="1"/>
        <name val="Calibri"/>
        <scheme val="minor"/>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left" vertical="bottom" textRotation="0" wrapText="0" relativeIndent="0" justifyLastLine="0" shrinkToFit="0" readingOrder="0"/>
    </dxf>
    <dxf>
      <font>
        <strike val="0"/>
        <outline val="0"/>
        <shadow val="0"/>
        <u val="none"/>
        <vertAlign val="baseline"/>
        <sz val="10"/>
        <color theme="1"/>
        <name val="Calibri"/>
        <scheme val="minor"/>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dxf>
    <dxf>
      <font>
        <b val="0"/>
        <i val="0"/>
        <strike val="0"/>
        <condense val="0"/>
        <extend val="0"/>
        <outline val="0"/>
        <shadow val="0"/>
        <u val="none"/>
        <vertAlign val="baseline"/>
        <sz val="10"/>
        <color theme="1"/>
        <name val="Calibri"/>
        <scheme val="minor"/>
      </font>
      <numFmt numFmtId="0" formatCode="General"/>
    </dxf>
    <dxf>
      <font>
        <b val="0"/>
        <i val="0"/>
        <strike val="0"/>
        <condense val="0"/>
        <extend val="0"/>
        <outline val="0"/>
        <shadow val="0"/>
        <u val="none"/>
        <vertAlign val="baseline"/>
        <sz val="10"/>
        <color theme="1"/>
        <name val="Calibri"/>
        <scheme val="minor"/>
      </font>
      <numFmt numFmtId="0" formatCode="General"/>
    </dxf>
    <dxf>
      <font>
        <strike val="0"/>
        <outline val="0"/>
        <shadow val="0"/>
        <u val="none"/>
        <vertAlign val="baseline"/>
        <sz val="10"/>
        <color theme="1"/>
        <name val="Calibri"/>
        <scheme val="minor"/>
      </font>
      <numFmt numFmtId="0" formatCode="General"/>
    </dxf>
    <dxf>
      <font>
        <strike val="0"/>
        <outline val="0"/>
        <shadow val="0"/>
        <u val="none"/>
        <vertAlign val="baseline"/>
        <sz val="10"/>
        <color theme="1"/>
        <name val="Calibri"/>
        <scheme val="minor"/>
      </font>
      <numFmt numFmtId="0" formatCode="General"/>
    </dxf>
    <dxf>
      <font>
        <strike val="0"/>
        <outline val="0"/>
        <shadow val="0"/>
        <u val="none"/>
        <vertAlign val="baseline"/>
        <sz val="10"/>
        <color theme="1"/>
        <name val="Calibri"/>
        <scheme val="minor"/>
      </font>
      <numFmt numFmtId="0" formatCode="General"/>
    </dxf>
    <dxf>
      <font>
        <b val="0"/>
        <i val="0"/>
        <strike val="0"/>
        <condense val="0"/>
        <extend val="0"/>
        <outline val="0"/>
        <shadow val="0"/>
        <u val="none"/>
        <vertAlign val="baseline"/>
        <sz val="10"/>
        <color theme="1"/>
        <name val="Calibri"/>
        <scheme val="minor"/>
      </font>
      <numFmt numFmtId="0" formatCode="General"/>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0" formatCode="General"/>
    </dxf>
    <dxf>
      <font>
        <b val="0"/>
        <i val="0"/>
        <strike val="0"/>
        <condense val="0"/>
        <extend val="0"/>
        <outline val="0"/>
        <shadow val="0"/>
        <u val="none"/>
        <vertAlign val="baseline"/>
        <sz val="10"/>
        <color theme="1"/>
        <name val="Calibri"/>
        <scheme val="minor"/>
      </font>
      <numFmt numFmtId="0" formatCode="General"/>
    </dxf>
    <dxf>
      <font>
        <b val="0"/>
        <i val="0"/>
        <strike val="0"/>
        <condense val="0"/>
        <extend val="0"/>
        <outline val="0"/>
        <shadow val="0"/>
        <u val="none"/>
        <vertAlign val="baseline"/>
        <sz val="10"/>
        <color theme="1"/>
        <name val="Calibri"/>
        <scheme val="minor"/>
      </font>
      <numFmt numFmtId="0" formatCode="General"/>
    </dxf>
    <dxf>
      <font>
        <strike val="0"/>
        <outline val="0"/>
        <shadow val="0"/>
        <u val="none"/>
        <vertAlign val="baseline"/>
        <sz val="10"/>
        <color theme="1"/>
        <name val="Calibri"/>
        <scheme val="minor"/>
      </font>
      <numFmt numFmtId="0" formatCode="General"/>
    </dxf>
    <dxf>
      <font>
        <b val="0"/>
        <i val="0"/>
        <strike val="0"/>
        <condense val="0"/>
        <extend val="0"/>
        <outline val="0"/>
        <shadow val="0"/>
        <u val="none"/>
        <vertAlign val="baseline"/>
        <sz val="10"/>
        <color theme="1"/>
        <name val="Calibri"/>
        <scheme val="minor"/>
      </font>
      <numFmt numFmtId="0" formatCode="General"/>
      <alignment horizontal="center" vertical="bottom" textRotation="0" wrapText="0" indent="0" justifyLastLine="0" shrinkToFit="0" readingOrder="0"/>
    </dxf>
    <dxf>
      <font>
        <strike val="0"/>
        <outline val="0"/>
        <shadow val="0"/>
        <u val="none"/>
        <vertAlign val="baseline"/>
        <sz val="10"/>
        <color theme="1"/>
        <name val="Calibri"/>
        <scheme val="minor"/>
      </font>
      <numFmt numFmtId="0" formatCode="General"/>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dxf>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left" vertical="bottom" textRotation="0" wrapText="0" relativeIndent="0" justifyLastLine="0" shrinkToFit="0" readingOrder="0"/>
    </dxf>
    <dxf>
      <font>
        <strike val="0"/>
        <outline val="0"/>
        <shadow val="0"/>
        <u val="none"/>
        <vertAlign val="baseline"/>
        <sz val="10"/>
        <color theme="1"/>
        <name val="Calibri"/>
        <scheme val="minor"/>
      </font>
      <numFmt numFmtId="0" formatCode="General"/>
      <alignment horizontal="left" vertical="bottom" textRotation="0" wrapText="0" indent="0" justifyLastLine="0" shrinkToFit="0" readingOrder="0"/>
    </dxf>
    <dxf>
      <font>
        <strike val="0"/>
        <outline val="0"/>
        <shadow val="0"/>
        <u val="none"/>
        <vertAlign val="baseline"/>
        <sz val="10"/>
        <color theme="1"/>
        <name val="Calibri"/>
        <scheme val="minor"/>
      </font>
      <alignment horizontal="left" vertical="bottom" textRotation="0" wrapText="0" relativeIndent="0" justifyLastLine="0" shrinkToFit="0" readingOrder="0"/>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numFmt numFmtId="0" formatCode="General"/>
    </dxf>
    <dxf>
      <font>
        <b val="0"/>
        <i val="0"/>
        <strike val="0"/>
        <condense val="0"/>
        <extend val="0"/>
        <outline val="0"/>
        <shadow val="0"/>
        <u val="none"/>
        <vertAlign val="baseline"/>
        <sz val="10"/>
        <color theme="1"/>
        <name val="Calibri"/>
        <scheme val="minor"/>
      </font>
      <numFmt numFmtId="0" formatCode="General"/>
      <alignment horizontal="left" vertical="bottom" textRotation="0" wrapText="0" 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alignment horizontal="left" vertical="bottom" textRotation="0" wrapText="0" 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s>
  <tableStyles count="0" defaultTableStyle="TableStyleMedium9" defaultPivotStyle="PivotStyleLight16"/>
  <colors>
    <mruColors>
      <color rgb="FF9CACB9"/>
      <color rgb="FFFFFFCC"/>
      <color rgb="FF248EC2"/>
      <color rgb="FF00305E"/>
      <color rgb="FFA6CE43"/>
      <color rgb="FF77BF42"/>
      <color rgb="FF6B95C7"/>
      <color rgb="FF4A7EBB"/>
      <color rgb="FF86AA2C"/>
      <color rgb="FFF0F5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B$130" lockText="1" noThreeD="1"/>
</file>

<file path=xl/ctrlProps/ctrlProp10.xml><?xml version="1.0" encoding="utf-8"?>
<formControlPr xmlns="http://schemas.microsoft.com/office/spreadsheetml/2009/9/main" objectType="CheckBox" fmlaLink="$B$205" lockText="1" noThreeD="1"/>
</file>

<file path=xl/ctrlProps/ctrlProp11.xml><?xml version="1.0" encoding="utf-8"?>
<formControlPr xmlns="http://schemas.microsoft.com/office/spreadsheetml/2009/9/main" objectType="CheckBox" fmlaLink="$B$136" lockText="1" noThreeD="1"/>
</file>

<file path=xl/ctrlProps/ctrlProp12.xml><?xml version="1.0" encoding="utf-8"?>
<formControlPr xmlns="http://schemas.microsoft.com/office/spreadsheetml/2009/9/main" objectType="CheckBox" fmlaLink="$B$137" lockText="1" noThreeD="1"/>
</file>

<file path=xl/ctrlProps/ctrlProp13.xml><?xml version="1.0" encoding="utf-8"?>
<formControlPr xmlns="http://schemas.microsoft.com/office/spreadsheetml/2009/9/main" objectType="CheckBox" fmlaLink="$B$138" lockText="1" noThreeD="1"/>
</file>

<file path=xl/ctrlProps/ctrlProp14.xml><?xml version="1.0" encoding="utf-8"?>
<formControlPr xmlns="http://schemas.microsoft.com/office/spreadsheetml/2009/9/main" objectType="CheckBox" fmlaLink="$B$139" lockText="1" noThreeD="1"/>
</file>

<file path=xl/ctrlProps/ctrlProp15.xml><?xml version="1.0" encoding="utf-8"?>
<formControlPr xmlns="http://schemas.microsoft.com/office/spreadsheetml/2009/9/main" objectType="CheckBox" fmlaLink="$B$140" lockText="1" noThreeD="1"/>
</file>

<file path=xl/ctrlProps/ctrlProp16.xml><?xml version="1.0" encoding="utf-8"?>
<formControlPr xmlns="http://schemas.microsoft.com/office/spreadsheetml/2009/9/main" objectType="CheckBox" fmlaLink="$B$141" lockText="1" noThreeD="1"/>
</file>

<file path=xl/ctrlProps/ctrlProp17.xml><?xml version="1.0" encoding="utf-8"?>
<formControlPr xmlns="http://schemas.microsoft.com/office/spreadsheetml/2009/9/main" objectType="CheckBox" fmlaLink="$B$142" lockText="1" noThreeD="1"/>
</file>

<file path=xl/ctrlProps/ctrlProp2.xml><?xml version="1.0" encoding="utf-8"?>
<formControlPr xmlns="http://schemas.microsoft.com/office/spreadsheetml/2009/9/main" objectType="CheckBox" fmlaLink="$B$131" lockText="1" noThreeD="1"/>
</file>

<file path=xl/ctrlProps/ctrlProp3.xml><?xml version="1.0" encoding="utf-8"?>
<formControlPr xmlns="http://schemas.microsoft.com/office/spreadsheetml/2009/9/main" objectType="CheckBox" fmlaLink="$B$133" lockText="1" noThreeD="1"/>
</file>

<file path=xl/ctrlProps/ctrlProp4.xml><?xml version="1.0" encoding="utf-8"?>
<formControlPr xmlns="http://schemas.microsoft.com/office/spreadsheetml/2009/9/main" objectType="CheckBox" fmlaLink="$B$135" lockText="1" noThreeD="1"/>
</file>

<file path=xl/ctrlProps/ctrlProp5.xml><?xml version="1.0" encoding="utf-8"?>
<formControlPr xmlns="http://schemas.microsoft.com/office/spreadsheetml/2009/9/main" objectType="CheckBox" fmlaLink="$B$134" lockText="1" noThreeD="1"/>
</file>

<file path=xl/ctrlProps/ctrlProp6.xml><?xml version="1.0" encoding="utf-8"?>
<formControlPr xmlns="http://schemas.microsoft.com/office/spreadsheetml/2009/9/main" objectType="CheckBox" fmlaLink="$B$132" lockText="1" noThreeD="1"/>
</file>

<file path=xl/ctrlProps/ctrlProp7.xml><?xml version="1.0" encoding="utf-8"?>
<formControlPr xmlns="http://schemas.microsoft.com/office/spreadsheetml/2009/9/main" objectType="CheckBox" fmlaLink="$B$167" lockText="1" noThreeD="1"/>
</file>

<file path=xl/ctrlProps/ctrlProp8.xml><?xml version="1.0" encoding="utf-8"?>
<formControlPr xmlns="http://schemas.microsoft.com/office/spreadsheetml/2009/9/main" objectType="CheckBox" fmlaLink="$B$169" lockText="1" noThreeD="1"/>
</file>

<file path=xl/ctrlProps/ctrlProp9.xml><?xml version="1.0" encoding="utf-8"?>
<formControlPr xmlns="http://schemas.microsoft.com/office/spreadsheetml/2009/9/main" objectType="CheckBox" fmlaLink="$B$171"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hyperlink" Target="#TARGET_APP_2_START"/><Relationship Id="rId7" Type="http://schemas.openxmlformats.org/officeDocument/2006/relationships/hyperlink" Target="#TARGET_APP_TOP"/><Relationship Id="rId2" Type="http://schemas.openxmlformats.org/officeDocument/2006/relationships/hyperlink" Target="#TARGET_APP_1_START"/><Relationship Id="rId1" Type="http://schemas.openxmlformats.org/officeDocument/2006/relationships/hyperlink" Target="#TARGET_APP_7_START"/><Relationship Id="rId6" Type="http://schemas.openxmlformats.org/officeDocument/2006/relationships/hyperlink" Target="#TARGET_APP_6_START"/><Relationship Id="rId5" Type="http://schemas.openxmlformats.org/officeDocument/2006/relationships/hyperlink" Target="#TARGET_APP_4_START"/><Relationship Id="rId10" Type="http://schemas.openxmlformats.org/officeDocument/2006/relationships/hyperlink" Target="#TARGET_BUDGET_TOP"/><Relationship Id="rId4" Type="http://schemas.openxmlformats.org/officeDocument/2006/relationships/hyperlink" Target="#TARGET_APP_3_START"/><Relationship Id="rId9" Type="http://schemas.openxmlformats.org/officeDocument/2006/relationships/hyperlink" Target="#TARGET_APP_5_START"/></Relationships>
</file>

<file path=xl/drawings/_rels/drawing2.xml.rels><?xml version="1.0" encoding="UTF-8" standalone="yes"?>
<Relationships xmlns="http://schemas.openxmlformats.org/package/2006/relationships"><Relationship Id="rId3" Type="http://schemas.openxmlformats.org/officeDocument/2006/relationships/hyperlink" Target="#TARGET_APP_7_START"/><Relationship Id="rId2" Type="http://schemas.openxmlformats.org/officeDocument/2006/relationships/hyperlink" Target="#TARGET_BUDGET_TOP"/><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hyperlink" Target="#TARGET_CONFIG_TOP"/><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16</xdr:col>
      <xdr:colOff>314325</xdr:colOff>
      <xdr:row>21</xdr:row>
      <xdr:rowOff>9525</xdr:rowOff>
    </xdr:from>
    <xdr:ext cx="2181225" cy="264560"/>
    <xdr:sp macro="" textlink="$G$204">
      <xdr:nvSpPr>
        <xdr:cNvPr id="253" name="TOC_SECTION_LINK">
          <a:hlinkClick xmlns:r="http://schemas.openxmlformats.org/officeDocument/2006/relationships" r:id="rId1"/>
          <a:extLst>
            <a:ext uri="{FF2B5EF4-FFF2-40B4-BE49-F238E27FC236}">
              <a16:creationId xmlns:a16="http://schemas.microsoft.com/office/drawing/2014/main" id="{00000000-0008-0000-0000-0000FD000000}"/>
            </a:ext>
          </a:extLst>
        </xdr:cNvPr>
        <xdr:cNvSpPr txBox="1"/>
      </xdr:nvSpPr>
      <xdr:spPr>
        <a:xfrm>
          <a:off x="12182475" y="2962275"/>
          <a:ext cx="2181225"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lIns="0" tIns="64008" rtlCol="0" anchor="t">
          <a:noAutofit/>
        </a:bodyPr>
        <a:lstStyle/>
        <a:p>
          <a:pPr algn="l"/>
          <a:fld id="{50787E9F-B976-4ADD-9EC0-EECC70838B17}" type="TxLink">
            <a:rPr lang="en-US" sz="900" b="1" i="0" u="sng" strike="noStrike">
              <a:solidFill>
                <a:srgbClr val="366092"/>
              </a:solidFill>
              <a:latin typeface="Arial"/>
              <a:cs typeface="Arial"/>
            </a:rPr>
            <a:pPr algn="l"/>
            <a:t>Application Budget</a:t>
          </a:fld>
          <a:endParaRPr lang="en-US" sz="900" b="1" i="0" u="sng">
            <a:solidFill>
              <a:schemeClr val="accent1">
                <a:lumMod val="75000"/>
              </a:schemeClr>
            </a:solidFill>
            <a:latin typeface="Arial" pitchFamily="34" charset="0"/>
            <a:cs typeface="Arial" pitchFamily="34" charset="0"/>
          </a:endParaRPr>
        </a:p>
      </xdr:txBody>
    </xdr:sp>
    <xdr:clientData fPrintsWithSheet="0"/>
  </xdr:oneCellAnchor>
  <xdr:oneCellAnchor>
    <xdr:from>
      <xdr:col>8</xdr:col>
      <xdr:colOff>219074</xdr:colOff>
      <xdr:row>19</xdr:row>
      <xdr:rowOff>9525</xdr:rowOff>
    </xdr:from>
    <xdr:ext cx="2295525" cy="264560"/>
    <xdr:sp macro="" textlink="$G$18">
      <xdr:nvSpPr>
        <xdr:cNvPr id="49" name="TOC_SECTION_LINK">
          <a:hlinkClick xmlns:r="http://schemas.openxmlformats.org/officeDocument/2006/relationships" r:id="rId2"/>
          <a:extLst>
            <a:ext uri="{FF2B5EF4-FFF2-40B4-BE49-F238E27FC236}">
              <a16:creationId xmlns:a16="http://schemas.microsoft.com/office/drawing/2014/main" id="{00000000-0008-0000-0000-000031000000}"/>
            </a:ext>
          </a:extLst>
        </xdr:cNvPr>
        <xdr:cNvSpPr txBox="1"/>
      </xdr:nvSpPr>
      <xdr:spPr>
        <a:xfrm>
          <a:off x="8505824" y="2409825"/>
          <a:ext cx="2295525"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lIns="0" tIns="64008" rtlCol="0" anchor="t">
          <a:noAutofit/>
        </a:bodyPr>
        <a:lstStyle/>
        <a:p>
          <a:pPr algn="l"/>
          <a:fld id="{B36367EC-FE10-4F0D-9705-8C04301B182A}" type="TxLink">
            <a:rPr lang="en-US" sz="900" b="1" i="0" u="sng" strike="noStrike">
              <a:solidFill>
                <a:srgbClr val="376091"/>
              </a:solidFill>
              <a:latin typeface="Arial" pitchFamily="34" charset="0"/>
              <a:cs typeface="Arial" pitchFamily="34" charset="0"/>
            </a:rPr>
            <a:pPr algn="l"/>
            <a:t>Project Information</a:t>
          </a:fld>
          <a:endParaRPr lang="en-US" sz="900" b="1" i="0" u="sng">
            <a:solidFill>
              <a:schemeClr val="accent1">
                <a:lumMod val="75000"/>
              </a:schemeClr>
            </a:solidFill>
            <a:latin typeface="Arial" pitchFamily="34" charset="0"/>
            <a:cs typeface="Arial" pitchFamily="34" charset="0"/>
          </a:endParaRPr>
        </a:p>
      </xdr:txBody>
    </xdr:sp>
    <xdr:clientData fPrintsWithSheet="0"/>
  </xdr:oneCellAnchor>
  <xdr:oneCellAnchor>
    <xdr:from>
      <xdr:col>8</xdr:col>
      <xdr:colOff>219074</xdr:colOff>
      <xdr:row>20</xdr:row>
      <xdr:rowOff>9525</xdr:rowOff>
    </xdr:from>
    <xdr:ext cx="2295525" cy="264560"/>
    <xdr:sp macro="" textlink="$G$36">
      <xdr:nvSpPr>
        <xdr:cNvPr id="402" name="TOC_SECTION_LINK">
          <a:hlinkClick xmlns:r="http://schemas.openxmlformats.org/officeDocument/2006/relationships" r:id="rId3"/>
          <a:extLst>
            <a:ext uri="{FF2B5EF4-FFF2-40B4-BE49-F238E27FC236}">
              <a16:creationId xmlns:a16="http://schemas.microsoft.com/office/drawing/2014/main" id="{00000000-0008-0000-0000-000092010000}"/>
            </a:ext>
          </a:extLst>
        </xdr:cNvPr>
        <xdr:cNvSpPr txBox="1"/>
      </xdr:nvSpPr>
      <xdr:spPr>
        <a:xfrm>
          <a:off x="8505824" y="2686050"/>
          <a:ext cx="2295525"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lIns="0" tIns="64008" rtlCol="0" anchor="t">
          <a:noAutofit/>
        </a:bodyPr>
        <a:lstStyle/>
        <a:p>
          <a:pPr algn="l"/>
          <a:fld id="{4DCA384B-5EF9-438B-BDEE-830B43662A16}" type="TxLink">
            <a:rPr lang="en-US" sz="900" b="1" i="0" u="sng" strike="noStrike">
              <a:solidFill>
                <a:srgbClr val="376091"/>
              </a:solidFill>
              <a:latin typeface="Arial" pitchFamily="34" charset="0"/>
              <a:cs typeface="Arial" pitchFamily="34" charset="0"/>
            </a:rPr>
            <a:pPr algn="l"/>
            <a:t>Member Institution</a:t>
          </a:fld>
          <a:endParaRPr lang="en-US" sz="900" b="1" i="0" u="sng">
            <a:solidFill>
              <a:schemeClr val="accent1">
                <a:lumMod val="75000"/>
              </a:schemeClr>
            </a:solidFill>
            <a:latin typeface="Arial" pitchFamily="34" charset="0"/>
            <a:cs typeface="Arial" pitchFamily="34" charset="0"/>
          </a:endParaRPr>
        </a:p>
      </xdr:txBody>
    </xdr:sp>
    <xdr:clientData fPrintsWithSheet="0"/>
  </xdr:oneCellAnchor>
  <xdr:oneCellAnchor>
    <xdr:from>
      <xdr:col>8</xdr:col>
      <xdr:colOff>219074</xdr:colOff>
      <xdr:row>21</xdr:row>
      <xdr:rowOff>9525</xdr:rowOff>
    </xdr:from>
    <xdr:ext cx="2295525" cy="264560"/>
    <xdr:sp macro="" textlink="$G$56">
      <xdr:nvSpPr>
        <xdr:cNvPr id="403" name="TOC_SECTION_LINK">
          <a:hlinkClick xmlns:r="http://schemas.openxmlformats.org/officeDocument/2006/relationships" r:id="rId4"/>
          <a:extLst>
            <a:ext uri="{FF2B5EF4-FFF2-40B4-BE49-F238E27FC236}">
              <a16:creationId xmlns:a16="http://schemas.microsoft.com/office/drawing/2014/main" id="{00000000-0008-0000-0000-000093010000}"/>
            </a:ext>
          </a:extLst>
        </xdr:cNvPr>
        <xdr:cNvSpPr txBox="1"/>
      </xdr:nvSpPr>
      <xdr:spPr>
        <a:xfrm>
          <a:off x="8505824" y="2962275"/>
          <a:ext cx="2295525"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lIns="0" tIns="64008" rtlCol="0" anchor="t">
          <a:noAutofit/>
        </a:bodyPr>
        <a:lstStyle/>
        <a:p>
          <a:pPr algn="l"/>
          <a:fld id="{999FB6D9-654B-4E79-AE1C-508CD6275AAB}" type="TxLink">
            <a:rPr lang="en-US" sz="900" b="1" i="0" u="sng" strike="noStrike">
              <a:solidFill>
                <a:srgbClr val="376091"/>
              </a:solidFill>
              <a:latin typeface="Arial" pitchFamily="34" charset="0"/>
              <a:cs typeface="Arial" pitchFamily="34" charset="0"/>
            </a:rPr>
            <a:pPr algn="l"/>
            <a:t>Sponsor Information</a:t>
          </a:fld>
          <a:endParaRPr lang="en-US" sz="900" b="1" i="0" u="sng">
            <a:solidFill>
              <a:schemeClr val="accent1">
                <a:lumMod val="75000"/>
              </a:schemeClr>
            </a:solidFill>
            <a:latin typeface="Arial" pitchFamily="34" charset="0"/>
            <a:cs typeface="Arial" pitchFamily="34" charset="0"/>
          </a:endParaRPr>
        </a:p>
      </xdr:txBody>
    </xdr:sp>
    <xdr:clientData fPrintsWithSheet="0"/>
  </xdr:oneCellAnchor>
  <xdr:oneCellAnchor>
    <xdr:from>
      <xdr:col>8</xdr:col>
      <xdr:colOff>219074</xdr:colOff>
      <xdr:row>22</xdr:row>
      <xdr:rowOff>9525</xdr:rowOff>
    </xdr:from>
    <xdr:ext cx="2295525" cy="264560"/>
    <xdr:sp macro="" textlink="$G$79">
      <xdr:nvSpPr>
        <xdr:cNvPr id="404" name="TOC_SECTION_LINK">
          <a:hlinkClick xmlns:r="http://schemas.openxmlformats.org/officeDocument/2006/relationships" r:id="rId5"/>
          <a:extLst>
            <a:ext uri="{FF2B5EF4-FFF2-40B4-BE49-F238E27FC236}">
              <a16:creationId xmlns:a16="http://schemas.microsoft.com/office/drawing/2014/main" id="{00000000-0008-0000-0000-000094010000}"/>
            </a:ext>
          </a:extLst>
        </xdr:cNvPr>
        <xdr:cNvSpPr txBox="1"/>
      </xdr:nvSpPr>
      <xdr:spPr>
        <a:xfrm>
          <a:off x="8505824" y="3238500"/>
          <a:ext cx="2295525"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lIns="0" tIns="64008" rtlCol="0" anchor="t">
          <a:noAutofit/>
        </a:bodyPr>
        <a:lstStyle/>
        <a:p>
          <a:pPr algn="l"/>
          <a:fld id="{1B2EC8FB-E3C7-4AE2-B649-56BFEE21EA5B}" type="TxLink">
            <a:rPr lang="en-US" sz="900" b="1" i="0" u="sng" strike="noStrike">
              <a:solidFill>
                <a:srgbClr val="376091"/>
              </a:solidFill>
              <a:latin typeface="Arial" pitchFamily="34" charset="0"/>
              <a:cs typeface="Arial" pitchFamily="34" charset="0"/>
            </a:rPr>
            <a:pPr algn="l"/>
            <a:t>AHEAD Grant</a:t>
          </a:fld>
          <a:endParaRPr lang="en-US" sz="900" b="1" i="0" u="sng">
            <a:solidFill>
              <a:schemeClr val="accent1">
                <a:lumMod val="75000"/>
              </a:schemeClr>
            </a:solidFill>
            <a:latin typeface="Arial" pitchFamily="34" charset="0"/>
            <a:cs typeface="Arial" pitchFamily="34" charset="0"/>
          </a:endParaRPr>
        </a:p>
      </xdr:txBody>
    </xdr:sp>
    <xdr:clientData fPrintsWithSheet="0"/>
  </xdr:oneCellAnchor>
  <xdr:oneCellAnchor>
    <xdr:from>
      <xdr:col>16</xdr:col>
      <xdr:colOff>314325</xdr:colOff>
      <xdr:row>20</xdr:row>
      <xdr:rowOff>9525</xdr:rowOff>
    </xdr:from>
    <xdr:ext cx="2181225" cy="264560"/>
    <xdr:sp macro="" textlink="$G$164">
      <xdr:nvSpPr>
        <xdr:cNvPr id="413" name="TOC_SECTION_LINK">
          <a:hlinkClick xmlns:r="http://schemas.openxmlformats.org/officeDocument/2006/relationships" r:id="rId6"/>
          <a:extLst>
            <a:ext uri="{FF2B5EF4-FFF2-40B4-BE49-F238E27FC236}">
              <a16:creationId xmlns:a16="http://schemas.microsoft.com/office/drawing/2014/main" id="{00000000-0008-0000-0000-00009D010000}"/>
            </a:ext>
          </a:extLst>
        </xdr:cNvPr>
        <xdr:cNvSpPr txBox="1"/>
      </xdr:nvSpPr>
      <xdr:spPr>
        <a:xfrm>
          <a:off x="12182475" y="2686050"/>
          <a:ext cx="2181225"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lIns="0" tIns="64008" rtlCol="0" anchor="t">
          <a:noAutofit/>
        </a:bodyPr>
        <a:lstStyle/>
        <a:p>
          <a:pPr algn="l"/>
          <a:fld id="{2D365A97-D792-4672-B435-CB1FF26D255D}" type="TxLink">
            <a:rPr lang="en-US" sz="900" b="1" i="0" u="sng" strike="noStrike">
              <a:solidFill>
                <a:srgbClr val="366092"/>
              </a:solidFill>
              <a:latin typeface="Arial"/>
              <a:cs typeface="Arial"/>
            </a:rPr>
            <a:pPr algn="l"/>
            <a:t>Project Use of Funds</a:t>
          </a:fld>
          <a:endParaRPr lang="en-US" sz="900" b="1" i="0" u="sng">
            <a:solidFill>
              <a:schemeClr val="accent1">
                <a:lumMod val="75000"/>
              </a:schemeClr>
            </a:solidFill>
            <a:latin typeface="Arial" pitchFamily="34" charset="0"/>
            <a:cs typeface="Arial" pitchFamily="34" charset="0"/>
          </a:endParaRPr>
        </a:p>
      </xdr:txBody>
    </xdr:sp>
    <xdr:clientData fPrintsWithSheet="0"/>
  </xdr:oneCellAnchor>
  <xdr:twoCellAnchor editAs="oneCell">
    <xdr:from>
      <xdr:col>7</xdr:col>
      <xdr:colOff>66676</xdr:colOff>
      <xdr:row>23</xdr:row>
      <xdr:rowOff>238128</xdr:rowOff>
    </xdr:from>
    <xdr:to>
      <xdr:col>24</xdr:col>
      <xdr:colOff>99695</xdr:colOff>
      <xdr:row>32</xdr:row>
      <xdr:rowOff>59693</xdr:rowOff>
    </xdr:to>
    <xdr:grpSp>
      <xdr:nvGrpSpPr>
        <xdr:cNvPr id="397" name="SECTION_GROUP">
          <a:extLst>
            <a:ext uri="{FF2B5EF4-FFF2-40B4-BE49-F238E27FC236}">
              <a16:creationId xmlns:a16="http://schemas.microsoft.com/office/drawing/2014/main" id="{00000000-0008-0000-0000-00008D010000}"/>
            </a:ext>
          </a:extLst>
        </xdr:cNvPr>
        <xdr:cNvGrpSpPr/>
      </xdr:nvGrpSpPr>
      <xdr:grpSpPr>
        <a:xfrm>
          <a:off x="66676" y="5572128"/>
          <a:ext cx="7722869" cy="2336165"/>
          <a:chOff x="9363075" y="17306809"/>
          <a:chExt cx="7362825" cy="2470958"/>
        </a:xfrm>
      </xdr:grpSpPr>
      <xdr:sp macro="" textlink="$B$18">
        <xdr:nvSpPr>
          <xdr:cNvPr id="398" name="SECTION_GROUP_TITLE">
            <a:extLst>
              <a:ext uri="{FF2B5EF4-FFF2-40B4-BE49-F238E27FC236}">
                <a16:creationId xmlns:a16="http://schemas.microsoft.com/office/drawing/2014/main" id="{00000000-0008-0000-0000-00008E010000}"/>
              </a:ext>
            </a:extLst>
          </xdr:cNvPr>
          <xdr:cNvSpPr/>
        </xdr:nvSpPr>
        <xdr:spPr>
          <a:xfrm>
            <a:off x="9363075" y="17306809"/>
            <a:ext cx="7360920" cy="330887"/>
          </a:xfrm>
          <a:prstGeom prst="rect">
            <a:avLst/>
          </a:prstGeom>
          <a:solidFill>
            <a:srgbClr val="9CACB9"/>
          </a:solid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l"/>
            <a:fld id="{CAAE38C3-66AC-40FF-B498-4E7E3D9E22E9}" type="TxLink">
              <a:rPr lang="en-US" sz="1100" b="1" i="0" u="none" strike="noStrike">
                <a:solidFill>
                  <a:srgbClr val="FFFFFF"/>
                </a:solidFill>
                <a:latin typeface="Arial" pitchFamily="34" charset="0"/>
                <a:cs typeface="Arial" pitchFamily="34" charset="0"/>
              </a:rPr>
              <a:pPr algn="l"/>
              <a:t>Project Information</a:t>
            </a:fld>
            <a:endParaRPr lang="en-US" sz="1050" b="1" i="0" u="none" strike="noStrike">
              <a:solidFill>
                <a:schemeClr val="bg1"/>
              </a:solidFill>
              <a:latin typeface="Arial" pitchFamily="34" charset="0"/>
              <a:cs typeface="Arial" pitchFamily="34" charset="0"/>
            </a:endParaRPr>
          </a:p>
        </xdr:txBody>
      </xdr:sp>
      <xdr:sp macro="" textlink="">
        <xdr:nvSpPr>
          <xdr:cNvPr id="399" name="SECTION_GROUP_FRAME">
            <a:extLst>
              <a:ext uri="{FF2B5EF4-FFF2-40B4-BE49-F238E27FC236}">
                <a16:creationId xmlns:a16="http://schemas.microsoft.com/office/drawing/2014/main" id="{00000000-0008-0000-0000-00008F010000}"/>
              </a:ext>
            </a:extLst>
          </xdr:cNvPr>
          <xdr:cNvSpPr/>
        </xdr:nvSpPr>
        <xdr:spPr>
          <a:xfrm>
            <a:off x="9363075" y="17641465"/>
            <a:ext cx="7362825" cy="2136302"/>
          </a:xfrm>
          <a:prstGeom prst="rect">
            <a:avLst/>
          </a:prstGeom>
          <a:no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endParaRPr lang="en-US" sz="1050" b="0" i="1">
              <a:latin typeface="Arial" pitchFamily="34" charset="0"/>
              <a:cs typeface="Arial" pitchFamily="34" charset="0"/>
            </a:endParaRPr>
          </a:p>
        </xdr:txBody>
      </xdr:sp>
      <xdr:sp macro="" textlink="$B$31">
        <xdr:nvSpPr>
          <xdr:cNvPr id="400" name="SECTION_GROUP_SUBTITLE">
            <a:extLst>
              <a:ext uri="{FF2B5EF4-FFF2-40B4-BE49-F238E27FC236}">
                <a16:creationId xmlns:a16="http://schemas.microsoft.com/office/drawing/2014/main" id="{00000000-0008-0000-0000-000090010000}"/>
              </a:ext>
            </a:extLst>
          </xdr:cNvPr>
          <xdr:cNvSpPr/>
        </xdr:nvSpPr>
        <xdr:spPr>
          <a:xfrm>
            <a:off x="9372598" y="17650976"/>
            <a:ext cx="7351776" cy="293945"/>
          </a:xfrm>
          <a:prstGeom prst="rect">
            <a:avLst/>
          </a:prstGeom>
          <a:solidFill>
            <a:schemeClr val="accent1">
              <a:lumMod val="20000"/>
              <a:lumOff val="8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lIns="457200" rtlCol="0" anchor="ctr"/>
          <a:lstStyle/>
          <a:p>
            <a:pPr algn="l"/>
            <a:fld id="{4E5E8887-BB8B-4361-A6F3-0A9EFAC41882}" type="TxLink">
              <a:rPr lang="en-US" sz="800" b="0" i="0" u="none" strike="noStrike">
                <a:solidFill>
                  <a:srgbClr val="000000"/>
                </a:solidFill>
                <a:latin typeface="Arial" pitchFamily="34" charset="0"/>
                <a:cs typeface="Arial" pitchFamily="34" charset="0"/>
              </a:rPr>
              <a:pPr algn="l"/>
              <a:t>Not Started</a:t>
            </a:fld>
            <a:endParaRPr lang="en-US" sz="1050" b="0" i="0">
              <a:latin typeface="Arial" pitchFamily="34" charset="0"/>
              <a:cs typeface="Arial" pitchFamily="34" charset="0"/>
            </a:endParaRPr>
          </a:p>
        </xdr:txBody>
      </xdr:sp>
      <xdr:sp macro="" textlink="">
        <xdr:nvSpPr>
          <xdr:cNvPr id="401" name="SECTION_GROUP_SUBTITLE_LABEL">
            <a:extLst>
              <a:ext uri="{FF2B5EF4-FFF2-40B4-BE49-F238E27FC236}">
                <a16:creationId xmlns:a16="http://schemas.microsoft.com/office/drawing/2014/main" id="{00000000-0008-0000-0000-000091010000}"/>
              </a:ext>
            </a:extLst>
          </xdr:cNvPr>
          <xdr:cNvSpPr txBox="1"/>
        </xdr:nvSpPr>
        <xdr:spPr>
          <a:xfrm>
            <a:off x="9467850" y="17650982"/>
            <a:ext cx="476249" cy="293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rtlCol="0" anchor="ctr">
            <a:noAutofit/>
          </a:bodyPr>
          <a:lstStyle/>
          <a:p>
            <a:r>
              <a:rPr lang="en-US" sz="800" b="1" i="0">
                <a:latin typeface="Arial" pitchFamily="34" charset="0"/>
                <a:cs typeface="Arial" pitchFamily="34" charset="0"/>
              </a:rPr>
              <a:t>Status</a:t>
            </a:r>
            <a:r>
              <a:rPr lang="en-US" sz="800" b="0" i="1">
                <a:latin typeface="Arial" pitchFamily="34" charset="0"/>
                <a:cs typeface="Arial" pitchFamily="34" charset="0"/>
              </a:rPr>
              <a:t>:</a:t>
            </a:r>
          </a:p>
        </xdr:txBody>
      </xdr:sp>
    </xdr:grpSp>
    <xdr:clientData fPrintsWithSheet="0"/>
  </xdr:twoCellAnchor>
  <xdr:twoCellAnchor editAs="oneCell">
    <xdr:from>
      <xdr:col>7</xdr:col>
      <xdr:colOff>66676</xdr:colOff>
      <xdr:row>32</xdr:row>
      <xdr:rowOff>238125</xdr:rowOff>
    </xdr:from>
    <xdr:to>
      <xdr:col>24</xdr:col>
      <xdr:colOff>99695</xdr:colOff>
      <xdr:row>44</xdr:row>
      <xdr:rowOff>50800</xdr:rowOff>
    </xdr:to>
    <xdr:grpSp>
      <xdr:nvGrpSpPr>
        <xdr:cNvPr id="392" name="SECTION_GROUP">
          <a:extLst>
            <a:ext uri="{FF2B5EF4-FFF2-40B4-BE49-F238E27FC236}">
              <a16:creationId xmlns:a16="http://schemas.microsoft.com/office/drawing/2014/main" id="{00000000-0008-0000-0000-000088010000}"/>
            </a:ext>
          </a:extLst>
        </xdr:cNvPr>
        <xdr:cNvGrpSpPr/>
      </xdr:nvGrpSpPr>
      <xdr:grpSpPr>
        <a:xfrm>
          <a:off x="66676" y="8086725"/>
          <a:ext cx="7722869" cy="3165475"/>
          <a:chOff x="9363075" y="17306809"/>
          <a:chExt cx="7362825" cy="3373217"/>
        </a:xfrm>
      </xdr:grpSpPr>
      <xdr:sp macro="" textlink="$B$36">
        <xdr:nvSpPr>
          <xdr:cNvPr id="393" name="SECTION_GROUP_TITLE">
            <a:extLst>
              <a:ext uri="{FF2B5EF4-FFF2-40B4-BE49-F238E27FC236}">
                <a16:creationId xmlns:a16="http://schemas.microsoft.com/office/drawing/2014/main" id="{00000000-0008-0000-0000-000089010000}"/>
              </a:ext>
            </a:extLst>
          </xdr:cNvPr>
          <xdr:cNvSpPr/>
        </xdr:nvSpPr>
        <xdr:spPr>
          <a:xfrm>
            <a:off x="9363075" y="17306809"/>
            <a:ext cx="7360920" cy="330887"/>
          </a:xfrm>
          <a:prstGeom prst="rect">
            <a:avLst/>
          </a:prstGeom>
          <a:solidFill>
            <a:srgbClr val="9CACB9"/>
          </a:solid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l"/>
            <a:fld id="{FADD5778-91AA-44F8-8001-44AAEBEBC650}" type="TxLink">
              <a:rPr lang="en-US" sz="1100" b="1" i="0" u="none" strike="noStrike">
                <a:solidFill>
                  <a:srgbClr val="FFFFFF"/>
                </a:solidFill>
                <a:latin typeface="Arial" pitchFamily="34" charset="0"/>
                <a:cs typeface="Arial" pitchFamily="34" charset="0"/>
              </a:rPr>
              <a:pPr algn="l"/>
              <a:t>Member Institution</a:t>
            </a:fld>
            <a:endParaRPr lang="en-US" sz="1100" b="1" i="0" u="none" strike="noStrike">
              <a:solidFill>
                <a:schemeClr val="bg1"/>
              </a:solidFill>
              <a:latin typeface="Arial" pitchFamily="34" charset="0"/>
              <a:cs typeface="Arial" pitchFamily="34" charset="0"/>
            </a:endParaRPr>
          </a:p>
        </xdr:txBody>
      </xdr:sp>
      <xdr:sp macro="" textlink="">
        <xdr:nvSpPr>
          <xdr:cNvPr id="394" name="SECTION_GROUP_FRAME">
            <a:extLst>
              <a:ext uri="{FF2B5EF4-FFF2-40B4-BE49-F238E27FC236}">
                <a16:creationId xmlns:a16="http://schemas.microsoft.com/office/drawing/2014/main" id="{00000000-0008-0000-0000-00008A010000}"/>
              </a:ext>
            </a:extLst>
          </xdr:cNvPr>
          <xdr:cNvSpPr/>
        </xdr:nvSpPr>
        <xdr:spPr>
          <a:xfrm>
            <a:off x="9363075" y="17641465"/>
            <a:ext cx="7362825" cy="3038561"/>
          </a:xfrm>
          <a:prstGeom prst="rect">
            <a:avLst/>
          </a:prstGeom>
          <a:no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endParaRPr lang="en-US" sz="1050" b="0" i="1">
              <a:latin typeface="Arial" pitchFamily="34" charset="0"/>
              <a:cs typeface="Arial" pitchFamily="34" charset="0"/>
            </a:endParaRPr>
          </a:p>
        </xdr:txBody>
      </xdr:sp>
      <xdr:sp macro="" textlink="$B$51">
        <xdr:nvSpPr>
          <xdr:cNvPr id="395" name="SECTION_GROUP_SUBTITLE">
            <a:extLst>
              <a:ext uri="{FF2B5EF4-FFF2-40B4-BE49-F238E27FC236}">
                <a16:creationId xmlns:a16="http://schemas.microsoft.com/office/drawing/2014/main" id="{00000000-0008-0000-0000-00008B010000}"/>
              </a:ext>
            </a:extLst>
          </xdr:cNvPr>
          <xdr:cNvSpPr/>
        </xdr:nvSpPr>
        <xdr:spPr>
          <a:xfrm>
            <a:off x="9372598" y="17650976"/>
            <a:ext cx="7351776" cy="293945"/>
          </a:xfrm>
          <a:prstGeom prst="rect">
            <a:avLst/>
          </a:prstGeom>
          <a:solidFill>
            <a:schemeClr val="accent1">
              <a:lumMod val="20000"/>
              <a:lumOff val="8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lIns="457200" rtlCol="0" anchor="ctr"/>
          <a:lstStyle/>
          <a:p>
            <a:pPr algn="l"/>
            <a:fld id="{E4C9922D-EDFB-48CE-9854-C5ED57C564A4}" type="TxLink">
              <a:rPr lang="en-US" sz="800" b="0" i="0" u="none" strike="noStrike">
                <a:solidFill>
                  <a:srgbClr val="000000"/>
                </a:solidFill>
                <a:latin typeface="Arial" pitchFamily="34" charset="0"/>
                <a:cs typeface="Arial" pitchFamily="34" charset="0"/>
              </a:rPr>
              <a:pPr algn="l"/>
              <a:t>Not Started</a:t>
            </a:fld>
            <a:endParaRPr lang="en-US" sz="1050" b="0" i="0">
              <a:latin typeface="Arial" pitchFamily="34" charset="0"/>
              <a:cs typeface="Arial" pitchFamily="34" charset="0"/>
            </a:endParaRPr>
          </a:p>
        </xdr:txBody>
      </xdr:sp>
      <xdr:sp macro="" textlink="">
        <xdr:nvSpPr>
          <xdr:cNvPr id="396" name="SECTION_GROUP_SUBTITLE_LABEL">
            <a:extLst>
              <a:ext uri="{FF2B5EF4-FFF2-40B4-BE49-F238E27FC236}">
                <a16:creationId xmlns:a16="http://schemas.microsoft.com/office/drawing/2014/main" id="{00000000-0008-0000-0000-00008C010000}"/>
              </a:ext>
            </a:extLst>
          </xdr:cNvPr>
          <xdr:cNvSpPr txBox="1"/>
        </xdr:nvSpPr>
        <xdr:spPr>
          <a:xfrm>
            <a:off x="9467850" y="17650982"/>
            <a:ext cx="476249" cy="293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rtlCol="0" anchor="ctr">
            <a:noAutofit/>
          </a:bodyPr>
          <a:lstStyle/>
          <a:p>
            <a:r>
              <a:rPr lang="en-US" sz="800" b="1" i="0">
                <a:latin typeface="Arial" pitchFamily="34" charset="0"/>
                <a:cs typeface="Arial" pitchFamily="34" charset="0"/>
              </a:rPr>
              <a:t>Status</a:t>
            </a:r>
            <a:r>
              <a:rPr lang="en-US" sz="800" b="0" i="1">
                <a:latin typeface="Arial" pitchFamily="34" charset="0"/>
                <a:cs typeface="Arial" pitchFamily="34" charset="0"/>
              </a:rPr>
              <a:t>:</a:t>
            </a:r>
          </a:p>
        </xdr:txBody>
      </xdr:sp>
    </xdr:grpSp>
    <xdr:clientData fPrintsWithSheet="0"/>
  </xdr:twoCellAnchor>
  <xdr:twoCellAnchor editAs="oneCell">
    <xdr:from>
      <xdr:col>7</xdr:col>
      <xdr:colOff>66676</xdr:colOff>
      <xdr:row>44</xdr:row>
      <xdr:rowOff>238124</xdr:rowOff>
    </xdr:from>
    <xdr:to>
      <xdr:col>24</xdr:col>
      <xdr:colOff>99695</xdr:colOff>
      <xdr:row>78</xdr:row>
      <xdr:rowOff>54609</xdr:rowOff>
    </xdr:to>
    <xdr:grpSp>
      <xdr:nvGrpSpPr>
        <xdr:cNvPr id="387" name="SECTION_GROUP">
          <a:extLst>
            <a:ext uri="{FF2B5EF4-FFF2-40B4-BE49-F238E27FC236}">
              <a16:creationId xmlns:a16="http://schemas.microsoft.com/office/drawing/2014/main" id="{00000000-0008-0000-0000-000083010000}"/>
            </a:ext>
          </a:extLst>
        </xdr:cNvPr>
        <xdr:cNvGrpSpPr/>
      </xdr:nvGrpSpPr>
      <xdr:grpSpPr>
        <a:xfrm>
          <a:off x="66676" y="11439524"/>
          <a:ext cx="7722869" cy="9316085"/>
          <a:chOff x="9363075" y="17306809"/>
          <a:chExt cx="7362825" cy="9924846"/>
        </a:xfrm>
      </xdr:grpSpPr>
      <xdr:sp macro="" textlink="$B$56">
        <xdr:nvSpPr>
          <xdr:cNvPr id="388" name="SECTION_GROUP_TITLE">
            <a:extLst>
              <a:ext uri="{FF2B5EF4-FFF2-40B4-BE49-F238E27FC236}">
                <a16:creationId xmlns:a16="http://schemas.microsoft.com/office/drawing/2014/main" id="{00000000-0008-0000-0000-000084010000}"/>
              </a:ext>
            </a:extLst>
          </xdr:cNvPr>
          <xdr:cNvSpPr/>
        </xdr:nvSpPr>
        <xdr:spPr>
          <a:xfrm>
            <a:off x="9363075" y="17306809"/>
            <a:ext cx="7360920" cy="330887"/>
          </a:xfrm>
          <a:prstGeom prst="rect">
            <a:avLst/>
          </a:prstGeom>
          <a:solidFill>
            <a:srgbClr val="9CACB9"/>
          </a:solid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l"/>
            <a:fld id="{15D0AF0E-AE2D-4DC3-92BC-A01C7728A6D3}" type="TxLink">
              <a:rPr lang="en-US" sz="1100" b="1" i="0" u="none" strike="noStrike">
                <a:solidFill>
                  <a:srgbClr val="FFFFFF"/>
                </a:solidFill>
                <a:latin typeface="Arial" pitchFamily="34" charset="0"/>
                <a:cs typeface="Arial" pitchFamily="34" charset="0"/>
              </a:rPr>
              <a:pPr algn="l"/>
              <a:t>Sponsor Information</a:t>
            </a:fld>
            <a:endParaRPr lang="en-US" sz="1100" b="1" i="0" u="none" strike="noStrike">
              <a:solidFill>
                <a:schemeClr val="bg1"/>
              </a:solidFill>
              <a:latin typeface="Arial" pitchFamily="34" charset="0"/>
              <a:cs typeface="Arial" pitchFamily="34" charset="0"/>
            </a:endParaRPr>
          </a:p>
        </xdr:txBody>
      </xdr:sp>
      <xdr:sp macro="" textlink="">
        <xdr:nvSpPr>
          <xdr:cNvPr id="389" name="SECTION_GROUP_FRAME">
            <a:extLst>
              <a:ext uri="{FF2B5EF4-FFF2-40B4-BE49-F238E27FC236}">
                <a16:creationId xmlns:a16="http://schemas.microsoft.com/office/drawing/2014/main" id="{00000000-0008-0000-0000-000085010000}"/>
              </a:ext>
            </a:extLst>
          </xdr:cNvPr>
          <xdr:cNvSpPr/>
        </xdr:nvSpPr>
        <xdr:spPr>
          <a:xfrm>
            <a:off x="9363075" y="17641464"/>
            <a:ext cx="7362825" cy="9590191"/>
          </a:xfrm>
          <a:prstGeom prst="rect">
            <a:avLst/>
          </a:prstGeom>
          <a:no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endParaRPr lang="en-US" sz="1050" b="0" i="1">
              <a:latin typeface="Arial" pitchFamily="34" charset="0"/>
              <a:cs typeface="Arial" pitchFamily="34" charset="0"/>
            </a:endParaRPr>
          </a:p>
        </xdr:txBody>
      </xdr:sp>
      <xdr:sp macro="" textlink="$B$74">
        <xdr:nvSpPr>
          <xdr:cNvPr id="390" name="SECTION_GROUP_SUBTITLE">
            <a:extLst>
              <a:ext uri="{FF2B5EF4-FFF2-40B4-BE49-F238E27FC236}">
                <a16:creationId xmlns:a16="http://schemas.microsoft.com/office/drawing/2014/main" id="{00000000-0008-0000-0000-000086010000}"/>
              </a:ext>
            </a:extLst>
          </xdr:cNvPr>
          <xdr:cNvSpPr/>
        </xdr:nvSpPr>
        <xdr:spPr>
          <a:xfrm>
            <a:off x="9372598" y="17650976"/>
            <a:ext cx="7351776" cy="293945"/>
          </a:xfrm>
          <a:prstGeom prst="rect">
            <a:avLst/>
          </a:prstGeom>
          <a:solidFill>
            <a:schemeClr val="accent1">
              <a:lumMod val="20000"/>
              <a:lumOff val="8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lIns="457200" rtlCol="0" anchor="ctr"/>
          <a:lstStyle/>
          <a:p>
            <a:pPr algn="l"/>
            <a:fld id="{42F4773F-DAE3-414B-A7BE-AACBEA5DAC9E}" type="TxLink">
              <a:rPr lang="en-US" sz="800" b="0" i="0" u="none" strike="noStrike">
                <a:solidFill>
                  <a:srgbClr val="000000"/>
                </a:solidFill>
                <a:latin typeface="Arial" pitchFamily="34" charset="0"/>
                <a:cs typeface="Arial" pitchFamily="34" charset="0"/>
              </a:rPr>
              <a:pPr algn="l"/>
              <a:t>Not Started</a:t>
            </a:fld>
            <a:endParaRPr lang="en-US" sz="1050" b="0" i="0">
              <a:latin typeface="Arial" pitchFamily="34" charset="0"/>
              <a:cs typeface="Arial" pitchFamily="34" charset="0"/>
            </a:endParaRPr>
          </a:p>
        </xdr:txBody>
      </xdr:sp>
      <xdr:sp macro="" textlink="">
        <xdr:nvSpPr>
          <xdr:cNvPr id="391" name="SECTION_GROUP_SUBTITLE_LABEL">
            <a:extLst>
              <a:ext uri="{FF2B5EF4-FFF2-40B4-BE49-F238E27FC236}">
                <a16:creationId xmlns:a16="http://schemas.microsoft.com/office/drawing/2014/main" id="{00000000-0008-0000-0000-000087010000}"/>
              </a:ext>
            </a:extLst>
          </xdr:cNvPr>
          <xdr:cNvSpPr txBox="1"/>
        </xdr:nvSpPr>
        <xdr:spPr>
          <a:xfrm>
            <a:off x="9467850" y="17650982"/>
            <a:ext cx="476249" cy="293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rtlCol="0" anchor="ctr">
            <a:noAutofit/>
          </a:bodyPr>
          <a:lstStyle/>
          <a:p>
            <a:r>
              <a:rPr lang="en-US" sz="800" b="1" i="0">
                <a:latin typeface="Arial" pitchFamily="34" charset="0"/>
                <a:cs typeface="Arial" pitchFamily="34" charset="0"/>
              </a:rPr>
              <a:t>Status</a:t>
            </a:r>
            <a:r>
              <a:rPr lang="en-US" sz="800" b="0" i="1">
                <a:latin typeface="Arial" pitchFamily="34" charset="0"/>
                <a:cs typeface="Arial" pitchFamily="34" charset="0"/>
              </a:rPr>
              <a:t>:</a:t>
            </a:r>
          </a:p>
        </xdr:txBody>
      </xdr:sp>
    </xdr:grpSp>
    <xdr:clientData fPrintsWithSheet="0"/>
  </xdr:twoCellAnchor>
  <xdr:twoCellAnchor editAs="oneCell">
    <xdr:from>
      <xdr:col>7</xdr:col>
      <xdr:colOff>66676</xdr:colOff>
      <xdr:row>78</xdr:row>
      <xdr:rowOff>247650</xdr:rowOff>
    </xdr:from>
    <xdr:to>
      <xdr:col>24</xdr:col>
      <xdr:colOff>99695</xdr:colOff>
      <xdr:row>94</xdr:row>
      <xdr:rowOff>101599</xdr:rowOff>
    </xdr:to>
    <xdr:grpSp>
      <xdr:nvGrpSpPr>
        <xdr:cNvPr id="382" name="SECTION_GROUP">
          <a:extLst>
            <a:ext uri="{FF2B5EF4-FFF2-40B4-BE49-F238E27FC236}">
              <a16:creationId xmlns:a16="http://schemas.microsoft.com/office/drawing/2014/main" id="{00000000-0008-0000-0000-00007E010000}"/>
            </a:ext>
          </a:extLst>
        </xdr:cNvPr>
        <xdr:cNvGrpSpPr/>
      </xdr:nvGrpSpPr>
      <xdr:grpSpPr>
        <a:xfrm>
          <a:off x="66676" y="20948650"/>
          <a:ext cx="7722869" cy="4324349"/>
          <a:chOff x="9363075" y="17306809"/>
          <a:chExt cx="7362825" cy="4593316"/>
        </a:xfrm>
      </xdr:grpSpPr>
      <xdr:sp macro="" textlink="$B$79">
        <xdr:nvSpPr>
          <xdr:cNvPr id="384" name="SECTION_GROUP_TITLE">
            <a:extLst>
              <a:ext uri="{FF2B5EF4-FFF2-40B4-BE49-F238E27FC236}">
                <a16:creationId xmlns:a16="http://schemas.microsoft.com/office/drawing/2014/main" id="{00000000-0008-0000-0000-000080010000}"/>
              </a:ext>
            </a:extLst>
          </xdr:cNvPr>
          <xdr:cNvSpPr/>
        </xdr:nvSpPr>
        <xdr:spPr>
          <a:xfrm>
            <a:off x="9363075" y="17306809"/>
            <a:ext cx="7360920" cy="330887"/>
          </a:xfrm>
          <a:prstGeom prst="rect">
            <a:avLst/>
          </a:prstGeom>
          <a:solidFill>
            <a:srgbClr val="9CACB9"/>
          </a:solid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l"/>
            <a:fld id="{2224AD2D-083F-4D30-AEF1-F9B397C041A1}" type="TxLink">
              <a:rPr lang="en-US" sz="1100" b="1" i="0" u="none" strike="noStrike">
                <a:solidFill>
                  <a:srgbClr val="FFFFFF"/>
                </a:solidFill>
                <a:latin typeface="Arial" pitchFamily="34" charset="0"/>
                <a:cs typeface="Arial" pitchFamily="34" charset="0"/>
              </a:rPr>
              <a:pPr algn="l"/>
              <a:t>AHEAD Grant</a:t>
            </a:fld>
            <a:endParaRPr lang="en-US" sz="1100" b="1" i="0" u="none" strike="noStrike">
              <a:solidFill>
                <a:schemeClr val="bg1"/>
              </a:solidFill>
              <a:latin typeface="Arial" pitchFamily="34" charset="0"/>
              <a:cs typeface="Arial" pitchFamily="34" charset="0"/>
            </a:endParaRPr>
          </a:p>
        </xdr:txBody>
      </xdr:sp>
      <xdr:sp macro="" textlink="">
        <xdr:nvSpPr>
          <xdr:cNvPr id="383" name="SECTION_GROUP_FRAME">
            <a:extLst>
              <a:ext uri="{FF2B5EF4-FFF2-40B4-BE49-F238E27FC236}">
                <a16:creationId xmlns:a16="http://schemas.microsoft.com/office/drawing/2014/main" id="{00000000-0008-0000-0000-00007F010000}"/>
              </a:ext>
            </a:extLst>
          </xdr:cNvPr>
          <xdr:cNvSpPr/>
        </xdr:nvSpPr>
        <xdr:spPr>
          <a:xfrm>
            <a:off x="9363075" y="17641463"/>
            <a:ext cx="7362825" cy="4258662"/>
          </a:xfrm>
          <a:prstGeom prst="rect">
            <a:avLst/>
          </a:prstGeom>
          <a:no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endParaRPr lang="en-US" sz="1050" b="0" i="1">
              <a:latin typeface="Arial" pitchFamily="34" charset="0"/>
              <a:cs typeface="Arial" pitchFamily="34" charset="0"/>
            </a:endParaRPr>
          </a:p>
        </xdr:txBody>
      </xdr:sp>
      <xdr:sp macro="" textlink="$B$104">
        <xdr:nvSpPr>
          <xdr:cNvPr id="385" name="SECTION_GROUP_SUBTITLE">
            <a:extLst>
              <a:ext uri="{FF2B5EF4-FFF2-40B4-BE49-F238E27FC236}">
                <a16:creationId xmlns:a16="http://schemas.microsoft.com/office/drawing/2014/main" id="{00000000-0008-0000-0000-000081010000}"/>
              </a:ext>
            </a:extLst>
          </xdr:cNvPr>
          <xdr:cNvSpPr/>
        </xdr:nvSpPr>
        <xdr:spPr>
          <a:xfrm>
            <a:off x="9372598" y="17650976"/>
            <a:ext cx="7351776" cy="293945"/>
          </a:xfrm>
          <a:prstGeom prst="rect">
            <a:avLst/>
          </a:prstGeom>
          <a:solidFill>
            <a:schemeClr val="accent1">
              <a:lumMod val="20000"/>
              <a:lumOff val="8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lIns="457200" rtlCol="0" anchor="ctr"/>
          <a:lstStyle/>
          <a:p>
            <a:pPr algn="l"/>
            <a:fld id="{2E256CE4-A9D8-4564-AAAE-F75FA0A9347B}" type="TxLink">
              <a:rPr lang="en-US" sz="800" b="0" i="0" u="none" strike="noStrike">
                <a:solidFill>
                  <a:srgbClr val="000000"/>
                </a:solidFill>
                <a:latin typeface="Arial" pitchFamily="34" charset="0"/>
                <a:cs typeface="Arial" pitchFamily="34" charset="0"/>
              </a:rPr>
              <a:pPr algn="l"/>
              <a:t>Not Started</a:t>
            </a:fld>
            <a:endParaRPr lang="en-US" sz="1050" b="0" i="0">
              <a:latin typeface="Arial" pitchFamily="34" charset="0"/>
              <a:cs typeface="Arial" pitchFamily="34" charset="0"/>
            </a:endParaRPr>
          </a:p>
        </xdr:txBody>
      </xdr:sp>
      <xdr:sp macro="" textlink="">
        <xdr:nvSpPr>
          <xdr:cNvPr id="386" name="SECTION_GROUP_SUBTITLE_LABEL">
            <a:extLst>
              <a:ext uri="{FF2B5EF4-FFF2-40B4-BE49-F238E27FC236}">
                <a16:creationId xmlns:a16="http://schemas.microsoft.com/office/drawing/2014/main" id="{00000000-0008-0000-0000-000082010000}"/>
              </a:ext>
            </a:extLst>
          </xdr:cNvPr>
          <xdr:cNvSpPr txBox="1"/>
        </xdr:nvSpPr>
        <xdr:spPr>
          <a:xfrm>
            <a:off x="9467850" y="17650982"/>
            <a:ext cx="476249" cy="293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rtlCol="0" anchor="ctr">
            <a:noAutofit/>
          </a:bodyPr>
          <a:lstStyle/>
          <a:p>
            <a:r>
              <a:rPr lang="en-US" sz="800" b="1" i="0">
                <a:latin typeface="Arial" pitchFamily="34" charset="0"/>
                <a:cs typeface="Arial" pitchFamily="34" charset="0"/>
              </a:rPr>
              <a:t>Status</a:t>
            </a:r>
            <a:r>
              <a:rPr lang="en-US" sz="800" b="0" i="1">
                <a:latin typeface="Arial" pitchFamily="34" charset="0"/>
                <a:cs typeface="Arial" pitchFamily="34" charset="0"/>
              </a:rPr>
              <a:t>:</a:t>
            </a:r>
          </a:p>
        </xdr:txBody>
      </xdr:sp>
    </xdr:grpSp>
    <xdr:clientData fPrintsWithSheet="0"/>
  </xdr:twoCellAnchor>
  <xdr:twoCellAnchor editAs="oneCell">
    <xdr:from>
      <xdr:col>7</xdr:col>
      <xdr:colOff>66676</xdr:colOff>
      <xdr:row>94</xdr:row>
      <xdr:rowOff>247648</xdr:rowOff>
    </xdr:from>
    <xdr:to>
      <xdr:col>24</xdr:col>
      <xdr:colOff>99695</xdr:colOff>
      <xdr:row>213</xdr:row>
      <xdr:rowOff>127001</xdr:rowOff>
    </xdr:to>
    <xdr:grpSp>
      <xdr:nvGrpSpPr>
        <xdr:cNvPr id="377" name="SECTION_GROUP">
          <a:extLst>
            <a:ext uri="{FF2B5EF4-FFF2-40B4-BE49-F238E27FC236}">
              <a16:creationId xmlns:a16="http://schemas.microsoft.com/office/drawing/2014/main" id="{00000000-0008-0000-0000-000079010000}"/>
            </a:ext>
          </a:extLst>
        </xdr:cNvPr>
        <xdr:cNvGrpSpPr/>
      </xdr:nvGrpSpPr>
      <xdr:grpSpPr>
        <a:xfrm>
          <a:off x="66676" y="25419048"/>
          <a:ext cx="7722869" cy="33127953"/>
          <a:chOff x="9363075" y="17306809"/>
          <a:chExt cx="7362825" cy="32446008"/>
        </a:xfrm>
      </xdr:grpSpPr>
      <xdr:sp macro="" textlink="">
        <xdr:nvSpPr>
          <xdr:cNvPr id="378" name="SECTION_GROUP_FRAME">
            <a:extLst>
              <a:ext uri="{FF2B5EF4-FFF2-40B4-BE49-F238E27FC236}">
                <a16:creationId xmlns:a16="http://schemas.microsoft.com/office/drawing/2014/main" id="{00000000-0008-0000-0000-00007A010000}"/>
              </a:ext>
            </a:extLst>
          </xdr:cNvPr>
          <xdr:cNvSpPr/>
        </xdr:nvSpPr>
        <xdr:spPr>
          <a:xfrm>
            <a:off x="9363075" y="17641463"/>
            <a:ext cx="7362825" cy="32111354"/>
          </a:xfrm>
          <a:prstGeom prst="rect">
            <a:avLst/>
          </a:prstGeom>
          <a:no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endParaRPr lang="en-US" sz="1050" b="0" i="1">
              <a:latin typeface="Arial" pitchFamily="34" charset="0"/>
              <a:cs typeface="Arial" pitchFamily="34" charset="0"/>
            </a:endParaRPr>
          </a:p>
        </xdr:txBody>
      </xdr:sp>
      <xdr:sp macro="" textlink="$B$109">
        <xdr:nvSpPr>
          <xdr:cNvPr id="379" name="SECTION_GROUP_TITLE">
            <a:extLst>
              <a:ext uri="{FF2B5EF4-FFF2-40B4-BE49-F238E27FC236}">
                <a16:creationId xmlns:a16="http://schemas.microsoft.com/office/drawing/2014/main" id="{00000000-0008-0000-0000-00007B010000}"/>
              </a:ext>
            </a:extLst>
          </xdr:cNvPr>
          <xdr:cNvSpPr/>
        </xdr:nvSpPr>
        <xdr:spPr>
          <a:xfrm>
            <a:off x="9363075" y="17306809"/>
            <a:ext cx="7360920" cy="330887"/>
          </a:xfrm>
          <a:prstGeom prst="rect">
            <a:avLst/>
          </a:prstGeom>
          <a:solidFill>
            <a:srgbClr val="9CACB9"/>
          </a:solid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l"/>
            <a:fld id="{20C6431E-2C4B-4CE9-B3EC-1E65E52945D1}" type="TxLink">
              <a:rPr lang="en-US" sz="1100" b="1" i="0" u="none" strike="noStrike">
                <a:solidFill>
                  <a:srgbClr val="FFFFFF"/>
                </a:solidFill>
                <a:latin typeface="Arial" pitchFamily="34" charset="0"/>
                <a:cs typeface="Arial" pitchFamily="34" charset="0"/>
              </a:rPr>
              <a:pPr algn="l"/>
              <a:t>Project Summary</a:t>
            </a:fld>
            <a:endParaRPr lang="en-US" sz="1100" b="1" i="0" u="none" strike="noStrike">
              <a:solidFill>
                <a:schemeClr val="bg1"/>
              </a:solidFill>
              <a:latin typeface="Arial" pitchFamily="34" charset="0"/>
              <a:cs typeface="Arial" pitchFamily="34" charset="0"/>
            </a:endParaRPr>
          </a:p>
        </xdr:txBody>
      </xdr:sp>
      <xdr:sp macro="" textlink="$B$159">
        <xdr:nvSpPr>
          <xdr:cNvPr id="380" name="SECTION_GROUP_SUBTITLE">
            <a:extLst>
              <a:ext uri="{FF2B5EF4-FFF2-40B4-BE49-F238E27FC236}">
                <a16:creationId xmlns:a16="http://schemas.microsoft.com/office/drawing/2014/main" id="{00000000-0008-0000-0000-00007C010000}"/>
              </a:ext>
            </a:extLst>
          </xdr:cNvPr>
          <xdr:cNvSpPr/>
        </xdr:nvSpPr>
        <xdr:spPr>
          <a:xfrm>
            <a:off x="9372598" y="17650976"/>
            <a:ext cx="7351776" cy="293945"/>
          </a:xfrm>
          <a:prstGeom prst="rect">
            <a:avLst/>
          </a:prstGeom>
          <a:solidFill>
            <a:schemeClr val="accent1">
              <a:lumMod val="20000"/>
              <a:lumOff val="8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lIns="457200" rtlCol="0" anchor="ctr"/>
          <a:lstStyle/>
          <a:p>
            <a:pPr algn="l"/>
            <a:fld id="{3DD97D7A-A00C-423A-A86E-1D08840F2B2F}" type="TxLink">
              <a:rPr lang="en-US" sz="800" b="0" i="0" u="none" strike="noStrike">
                <a:solidFill>
                  <a:srgbClr val="000000"/>
                </a:solidFill>
                <a:latin typeface="Arial" pitchFamily="34" charset="0"/>
                <a:cs typeface="Arial" pitchFamily="34" charset="0"/>
              </a:rPr>
              <a:pPr algn="l"/>
              <a:t>Not Started</a:t>
            </a:fld>
            <a:endParaRPr lang="en-US" sz="1050" b="0" i="0">
              <a:latin typeface="Arial" pitchFamily="34" charset="0"/>
              <a:cs typeface="Arial" pitchFamily="34" charset="0"/>
            </a:endParaRPr>
          </a:p>
        </xdr:txBody>
      </xdr:sp>
      <xdr:sp macro="" textlink="">
        <xdr:nvSpPr>
          <xdr:cNvPr id="381" name="SECTION_GROUP_SUBTITLE_LABEL">
            <a:extLst>
              <a:ext uri="{FF2B5EF4-FFF2-40B4-BE49-F238E27FC236}">
                <a16:creationId xmlns:a16="http://schemas.microsoft.com/office/drawing/2014/main" id="{00000000-0008-0000-0000-00007D010000}"/>
              </a:ext>
            </a:extLst>
          </xdr:cNvPr>
          <xdr:cNvSpPr txBox="1"/>
        </xdr:nvSpPr>
        <xdr:spPr>
          <a:xfrm>
            <a:off x="9467850" y="17650982"/>
            <a:ext cx="476249" cy="293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rtlCol="0" anchor="ctr">
            <a:noAutofit/>
          </a:bodyPr>
          <a:lstStyle/>
          <a:p>
            <a:r>
              <a:rPr lang="en-US" sz="800" b="1" i="0">
                <a:latin typeface="Arial" pitchFamily="34" charset="0"/>
                <a:cs typeface="Arial" pitchFamily="34" charset="0"/>
              </a:rPr>
              <a:t>Status</a:t>
            </a:r>
            <a:r>
              <a:rPr lang="en-US" sz="800" b="0" i="1">
                <a:latin typeface="Arial" pitchFamily="34" charset="0"/>
                <a:cs typeface="Arial" pitchFamily="34" charset="0"/>
              </a:rPr>
              <a:t>:</a:t>
            </a:r>
          </a:p>
        </xdr:txBody>
      </xdr:sp>
    </xdr:grpSp>
    <xdr:clientData fPrintsWithSheet="0"/>
  </xdr:twoCellAnchor>
  <xdr:twoCellAnchor editAs="oneCell">
    <xdr:from>
      <xdr:col>7</xdr:col>
      <xdr:colOff>66676</xdr:colOff>
      <xdr:row>214</xdr:row>
      <xdr:rowOff>0</xdr:rowOff>
    </xdr:from>
    <xdr:to>
      <xdr:col>24</xdr:col>
      <xdr:colOff>99695</xdr:colOff>
      <xdr:row>254</xdr:row>
      <xdr:rowOff>152405</xdr:rowOff>
    </xdr:to>
    <xdr:grpSp>
      <xdr:nvGrpSpPr>
        <xdr:cNvPr id="372" name="SECTION_GROUP">
          <a:extLst>
            <a:ext uri="{FF2B5EF4-FFF2-40B4-BE49-F238E27FC236}">
              <a16:creationId xmlns:a16="http://schemas.microsoft.com/office/drawing/2014/main" id="{00000000-0008-0000-0000-000074010000}"/>
            </a:ext>
          </a:extLst>
        </xdr:cNvPr>
        <xdr:cNvGrpSpPr/>
      </xdr:nvGrpSpPr>
      <xdr:grpSpPr>
        <a:xfrm>
          <a:off x="66676" y="58699400"/>
          <a:ext cx="7722869" cy="11328405"/>
          <a:chOff x="9363075" y="17306809"/>
          <a:chExt cx="7362825" cy="11608653"/>
        </a:xfrm>
      </xdr:grpSpPr>
      <xdr:sp macro="" textlink="">
        <xdr:nvSpPr>
          <xdr:cNvPr id="373" name="SECTION_GROUP_FRAME">
            <a:extLst>
              <a:ext uri="{FF2B5EF4-FFF2-40B4-BE49-F238E27FC236}">
                <a16:creationId xmlns:a16="http://schemas.microsoft.com/office/drawing/2014/main" id="{00000000-0008-0000-0000-000075010000}"/>
              </a:ext>
            </a:extLst>
          </xdr:cNvPr>
          <xdr:cNvSpPr/>
        </xdr:nvSpPr>
        <xdr:spPr>
          <a:xfrm>
            <a:off x="9363075" y="17641463"/>
            <a:ext cx="7362825" cy="11273999"/>
          </a:xfrm>
          <a:prstGeom prst="rect">
            <a:avLst/>
          </a:prstGeom>
          <a:no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endParaRPr lang="en-US" sz="1050" b="0" i="1">
              <a:latin typeface="Arial" pitchFamily="34" charset="0"/>
              <a:cs typeface="Arial" pitchFamily="34" charset="0"/>
            </a:endParaRPr>
          </a:p>
        </xdr:txBody>
      </xdr:sp>
      <xdr:sp macro="" textlink="$B$164">
        <xdr:nvSpPr>
          <xdr:cNvPr id="374" name="SECTION_GROUP_TITLE">
            <a:extLst>
              <a:ext uri="{FF2B5EF4-FFF2-40B4-BE49-F238E27FC236}">
                <a16:creationId xmlns:a16="http://schemas.microsoft.com/office/drawing/2014/main" id="{00000000-0008-0000-0000-000076010000}"/>
              </a:ext>
            </a:extLst>
          </xdr:cNvPr>
          <xdr:cNvSpPr/>
        </xdr:nvSpPr>
        <xdr:spPr>
          <a:xfrm>
            <a:off x="9363075" y="17306809"/>
            <a:ext cx="7360920" cy="322199"/>
          </a:xfrm>
          <a:prstGeom prst="rect">
            <a:avLst/>
          </a:prstGeom>
          <a:solidFill>
            <a:srgbClr val="9CACB9"/>
          </a:solid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l"/>
            <a:fld id="{83FA5200-DDEA-40AA-A4B9-290293E3E040}" type="TxLink">
              <a:rPr lang="en-US" sz="1100" b="1" i="0" u="none" strike="noStrike">
                <a:solidFill>
                  <a:srgbClr val="FFFFFF"/>
                </a:solidFill>
                <a:latin typeface="Arial" pitchFamily="34" charset="0"/>
                <a:cs typeface="Arial" pitchFamily="34" charset="0"/>
              </a:rPr>
              <a:pPr algn="l"/>
              <a:t>Project Use of Funds</a:t>
            </a:fld>
            <a:endParaRPr lang="en-US" sz="1100" b="1" i="0" u="none" strike="noStrike">
              <a:solidFill>
                <a:schemeClr val="bg1"/>
              </a:solidFill>
              <a:latin typeface="Arial" pitchFamily="34" charset="0"/>
              <a:cs typeface="Arial" pitchFamily="34" charset="0"/>
            </a:endParaRPr>
          </a:p>
        </xdr:txBody>
      </xdr:sp>
      <xdr:sp macro="" textlink="$B$199">
        <xdr:nvSpPr>
          <xdr:cNvPr id="375" name="SECTION_GROUP_SUBTITLE">
            <a:extLst>
              <a:ext uri="{FF2B5EF4-FFF2-40B4-BE49-F238E27FC236}">
                <a16:creationId xmlns:a16="http://schemas.microsoft.com/office/drawing/2014/main" id="{00000000-0008-0000-0000-000077010000}"/>
              </a:ext>
            </a:extLst>
          </xdr:cNvPr>
          <xdr:cNvSpPr/>
        </xdr:nvSpPr>
        <xdr:spPr>
          <a:xfrm>
            <a:off x="9372598" y="17650976"/>
            <a:ext cx="7351776" cy="284293"/>
          </a:xfrm>
          <a:prstGeom prst="rect">
            <a:avLst/>
          </a:prstGeom>
          <a:solidFill>
            <a:schemeClr val="accent1">
              <a:lumMod val="20000"/>
              <a:lumOff val="8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lIns="457200" rtlCol="0" anchor="ctr"/>
          <a:lstStyle/>
          <a:p>
            <a:pPr algn="l"/>
            <a:fld id="{E9A53A8D-EB69-4F1E-A876-6ED2AAE53813}" type="TxLink">
              <a:rPr lang="en-US" sz="800" b="0" i="0" u="none" strike="noStrike">
                <a:solidFill>
                  <a:srgbClr val="000000"/>
                </a:solidFill>
                <a:latin typeface="Arial" pitchFamily="34" charset="0"/>
                <a:cs typeface="Arial" pitchFamily="34" charset="0"/>
              </a:rPr>
              <a:pPr algn="l"/>
              <a:t>Not Started</a:t>
            </a:fld>
            <a:endParaRPr lang="en-US" sz="1050" b="0" i="0">
              <a:latin typeface="Arial" pitchFamily="34" charset="0"/>
              <a:cs typeface="Arial" pitchFamily="34" charset="0"/>
            </a:endParaRPr>
          </a:p>
        </xdr:txBody>
      </xdr:sp>
      <xdr:sp macro="" textlink="">
        <xdr:nvSpPr>
          <xdr:cNvPr id="376" name="SECTION_GROUP_SUBTITLE_LABEL">
            <a:extLst>
              <a:ext uri="{FF2B5EF4-FFF2-40B4-BE49-F238E27FC236}">
                <a16:creationId xmlns:a16="http://schemas.microsoft.com/office/drawing/2014/main" id="{00000000-0008-0000-0000-000078010000}"/>
              </a:ext>
            </a:extLst>
          </xdr:cNvPr>
          <xdr:cNvSpPr txBox="1"/>
        </xdr:nvSpPr>
        <xdr:spPr>
          <a:xfrm>
            <a:off x="9467850" y="17650982"/>
            <a:ext cx="476249" cy="284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rtlCol="0" anchor="ctr">
            <a:noAutofit/>
          </a:bodyPr>
          <a:lstStyle/>
          <a:p>
            <a:r>
              <a:rPr lang="en-US" sz="800" b="1" i="0">
                <a:latin typeface="Arial" pitchFamily="34" charset="0"/>
                <a:cs typeface="Arial" pitchFamily="34" charset="0"/>
              </a:rPr>
              <a:t>Status</a:t>
            </a:r>
            <a:r>
              <a:rPr lang="en-US" sz="800" b="0" i="1">
                <a:latin typeface="Arial" pitchFamily="34" charset="0"/>
                <a:cs typeface="Arial" pitchFamily="34" charset="0"/>
              </a:rPr>
              <a:t>:</a:t>
            </a:r>
          </a:p>
        </xdr:txBody>
      </xdr:sp>
    </xdr:grpSp>
    <xdr:clientData fPrintsWithSheet="0"/>
  </xdr:twoCellAnchor>
  <xdr:twoCellAnchor editAs="oneCell">
    <xdr:from>
      <xdr:col>7</xdr:col>
      <xdr:colOff>66676</xdr:colOff>
      <xdr:row>254</xdr:row>
      <xdr:rowOff>247660</xdr:rowOff>
    </xdr:from>
    <xdr:to>
      <xdr:col>24</xdr:col>
      <xdr:colOff>99695</xdr:colOff>
      <xdr:row>264</xdr:row>
      <xdr:rowOff>59698</xdr:rowOff>
    </xdr:to>
    <xdr:grpSp>
      <xdr:nvGrpSpPr>
        <xdr:cNvPr id="367" name="SECTION_GROUP">
          <a:extLst>
            <a:ext uri="{FF2B5EF4-FFF2-40B4-BE49-F238E27FC236}">
              <a16:creationId xmlns:a16="http://schemas.microsoft.com/office/drawing/2014/main" id="{00000000-0008-0000-0000-00006F010000}"/>
            </a:ext>
          </a:extLst>
        </xdr:cNvPr>
        <xdr:cNvGrpSpPr/>
      </xdr:nvGrpSpPr>
      <xdr:grpSpPr>
        <a:xfrm>
          <a:off x="66676" y="70123060"/>
          <a:ext cx="7722869" cy="2606038"/>
          <a:chOff x="9363075" y="17284709"/>
          <a:chExt cx="7362825" cy="2972552"/>
        </a:xfrm>
      </xdr:grpSpPr>
      <xdr:sp macro="" textlink="">
        <xdr:nvSpPr>
          <xdr:cNvPr id="368" name="SECTION_GROUP_FRAME">
            <a:extLst>
              <a:ext uri="{FF2B5EF4-FFF2-40B4-BE49-F238E27FC236}">
                <a16:creationId xmlns:a16="http://schemas.microsoft.com/office/drawing/2014/main" id="{00000000-0008-0000-0000-000070010000}"/>
              </a:ext>
            </a:extLst>
          </xdr:cNvPr>
          <xdr:cNvSpPr/>
        </xdr:nvSpPr>
        <xdr:spPr>
          <a:xfrm>
            <a:off x="9363075" y="17641465"/>
            <a:ext cx="7362825" cy="2615796"/>
          </a:xfrm>
          <a:prstGeom prst="rect">
            <a:avLst/>
          </a:prstGeom>
          <a:no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endParaRPr lang="en-US" sz="1050" b="0" i="1">
              <a:latin typeface="Arial" pitchFamily="34" charset="0"/>
              <a:cs typeface="Arial" pitchFamily="34" charset="0"/>
            </a:endParaRPr>
          </a:p>
        </xdr:txBody>
      </xdr:sp>
      <xdr:sp macro="" textlink="$B$204">
        <xdr:nvSpPr>
          <xdr:cNvPr id="369" name="SECTION_GROUP_TITLE">
            <a:extLst>
              <a:ext uri="{FF2B5EF4-FFF2-40B4-BE49-F238E27FC236}">
                <a16:creationId xmlns:a16="http://schemas.microsoft.com/office/drawing/2014/main" id="{00000000-0008-0000-0000-000071010000}"/>
              </a:ext>
            </a:extLst>
          </xdr:cNvPr>
          <xdr:cNvSpPr/>
        </xdr:nvSpPr>
        <xdr:spPr>
          <a:xfrm>
            <a:off x="9363075" y="17284709"/>
            <a:ext cx="7360920" cy="360685"/>
          </a:xfrm>
          <a:prstGeom prst="rect">
            <a:avLst/>
          </a:prstGeom>
          <a:solidFill>
            <a:srgbClr val="9CACB9"/>
          </a:solid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l"/>
            <a:fld id="{49CFD029-D29E-4AFD-82F6-BD45E96ADA54}" type="TxLink">
              <a:rPr lang="en-US" sz="1100" b="1" i="0" u="none" strike="noStrike">
                <a:solidFill>
                  <a:srgbClr val="FFFFFF"/>
                </a:solidFill>
                <a:latin typeface="Arial" pitchFamily="34" charset="0"/>
                <a:cs typeface="Arial" pitchFamily="34" charset="0"/>
              </a:rPr>
              <a:pPr algn="l"/>
              <a:t>Application Budget</a:t>
            </a:fld>
            <a:endParaRPr lang="en-US" sz="1100" b="1" i="0" u="none" strike="noStrike">
              <a:solidFill>
                <a:schemeClr val="bg1"/>
              </a:solidFill>
              <a:latin typeface="Arial" pitchFamily="34" charset="0"/>
              <a:cs typeface="Arial" pitchFamily="34" charset="0"/>
            </a:endParaRPr>
          </a:p>
        </xdr:txBody>
      </xdr:sp>
      <xdr:sp macro="" textlink="$B$212">
        <xdr:nvSpPr>
          <xdr:cNvPr id="370" name="SECTION_GROUP_SUBTITLE">
            <a:extLst>
              <a:ext uri="{FF2B5EF4-FFF2-40B4-BE49-F238E27FC236}">
                <a16:creationId xmlns:a16="http://schemas.microsoft.com/office/drawing/2014/main" id="{00000000-0008-0000-0000-000072010000}"/>
              </a:ext>
            </a:extLst>
          </xdr:cNvPr>
          <xdr:cNvSpPr/>
        </xdr:nvSpPr>
        <xdr:spPr>
          <a:xfrm>
            <a:off x="9372598" y="17650974"/>
            <a:ext cx="7351776" cy="318251"/>
          </a:xfrm>
          <a:prstGeom prst="rect">
            <a:avLst/>
          </a:prstGeom>
          <a:solidFill>
            <a:schemeClr val="accent1">
              <a:lumMod val="20000"/>
              <a:lumOff val="8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lIns="457200" rtlCol="0" anchor="ctr"/>
          <a:lstStyle/>
          <a:p>
            <a:pPr algn="l"/>
            <a:fld id="{2A89CDB9-D8D7-4E82-BABC-173A1823DB6E}" type="TxLink">
              <a:rPr lang="en-US" sz="800" b="0" i="0" u="none" strike="noStrike">
                <a:solidFill>
                  <a:srgbClr val="000000"/>
                </a:solidFill>
                <a:latin typeface="Arial" pitchFamily="34" charset="0"/>
                <a:cs typeface="Arial" pitchFamily="34" charset="0"/>
              </a:rPr>
              <a:pPr algn="l"/>
              <a:t>Not Started</a:t>
            </a:fld>
            <a:endParaRPr lang="en-US" sz="1050" b="0" i="0">
              <a:latin typeface="Arial" pitchFamily="34" charset="0"/>
              <a:cs typeface="Arial" pitchFamily="34" charset="0"/>
            </a:endParaRPr>
          </a:p>
        </xdr:txBody>
      </xdr:sp>
      <xdr:sp macro="" textlink="">
        <xdr:nvSpPr>
          <xdr:cNvPr id="371" name="SECTION_GROUP_SUBTITLE_LABEL">
            <a:extLst>
              <a:ext uri="{FF2B5EF4-FFF2-40B4-BE49-F238E27FC236}">
                <a16:creationId xmlns:a16="http://schemas.microsoft.com/office/drawing/2014/main" id="{00000000-0008-0000-0000-000073010000}"/>
              </a:ext>
            </a:extLst>
          </xdr:cNvPr>
          <xdr:cNvSpPr txBox="1"/>
        </xdr:nvSpPr>
        <xdr:spPr>
          <a:xfrm>
            <a:off x="9467850" y="17650981"/>
            <a:ext cx="476249" cy="318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rtlCol="0" anchor="ctr">
            <a:noAutofit/>
          </a:bodyPr>
          <a:lstStyle/>
          <a:p>
            <a:r>
              <a:rPr lang="en-US" sz="800" b="1" i="0">
                <a:latin typeface="Arial" pitchFamily="34" charset="0"/>
                <a:cs typeface="Arial" pitchFamily="34" charset="0"/>
              </a:rPr>
              <a:t>Status</a:t>
            </a:r>
            <a:r>
              <a:rPr lang="en-US" sz="800" b="0" i="1">
                <a:latin typeface="Arial" pitchFamily="34" charset="0"/>
                <a:cs typeface="Arial" pitchFamily="34" charset="0"/>
              </a:rPr>
              <a:t>:</a:t>
            </a:r>
          </a:p>
        </xdr:txBody>
      </xdr:sp>
    </xdr:grpSp>
    <xdr:clientData fPrintsWithSheet="0"/>
  </xdr:twoCellAnchor>
  <xdr:twoCellAnchor editAs="absolute">
    <xdr:from>
      <xdr:col>16384</xdr:col>
      <xdr:colOff>505978</xdr:colOff>
      <xdr:row>16</xdr:row>
      <xdr:rowOff>250190</xdr:rowOff>
    </xdr:from>
    <xdr:to>
      <xdr:col>16384</xdr:col>
      <xdr:colOff>505978</xdr:colOff>
      <xdr:row>19</xdr:row>
      <xdr:rowOff>21590</xdr:rowOff>
    </xdr:to>
    <xdr:sp macro="" textlink="">
      <xdr:nvSpPr>
        <xdr:cNvPr id="17" name="COVER_CELLS_01">
          <a:extLst>
            <a:ext uri="{FF2B5EF4-FFF2-40B4-BE49-F238E27FC236}">
              <a16:creationId xmlns:a16="http://schemas.microsoft.com/office/drawing/2014/main" id="{00000000-0008-0000-0000-000011000000}"/>
            </a:ext>
          </a:extLst>
        </xdr:cNvPr>
        <xdr:cNvSpPr/>
      </xdr:nvSpPr>
      <xdr:spPr>
        <a:xfrm>
          <a:off x="9115424" y="3590925"/>
          <a:ext cx="0" cy="600075"/>
        </a:xfrm>
        <a:prstGeom prst="rect">
          <a:avLst/>
        </a:prstGeom>
        <a:solidFill>
          <a:srgbClr val="FFFFFF">
            <a:alpha val="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050">
            <a:latin typeface="Arial" pitchFamily="34" charset="0"/>
            <a:cs typeface="Arial" pitchFamily="34" charset="0"/>
          </a:endParaRPr>
        </a:p>
      </xdr:txBody>
    </xdr:sp>
    <xdr:clientData fPrintsWithSheet="0"/>
  </xdr:twoCellAnchor>
  <xdr:twoCellAnchor editAs="oneCell">
    <xdr:from>
      <xdr:col>7</xdr:col>
      <xdr:colOff>15250</xdr:colOff>
      <xdr:row>264</xdr:row>
      <xdr:rowOff>266700</xdr:rowOff>
    </xdr:from>
    <xdr:to>
      <xdr:col>24</xdr:col>
      <xdr:colOff>130809</xdr:colOff>
      <xdr:row>265</xdr:row>
      <xdr:rowOff>266700</xdr:rowOff>
    </xdr:to>
    <xdr:grpSp>
      <xdr:nvGrpSpPr>
        <xdr:cNvPr id="88" name="Group 87">
          <a:extLst>
            <a:ext uri="{FF2B5EF4-FFF2-40B4-BE49-F238E27FC236}">
              <a16:creationId xmlns:a16="http://schemas.microsoft.com/office/drawing/2014/main" id="{00000000-0008-0000-0000-000058000000}"/>
            </a:ext>
          </a:extLst>
        </xdr:cNvPr>
        <xdr:cNvGrpSpPr/>
      </xdr:nvGrpSpPr>
      <xdr:grpSpPr>
        <a:xfrm>
          <a:off x="15250" y="72936100"/>
          <a:ext cx="7805409" cy="279400"/>
          <a:chOff x="9296399" y="16259175"/>
          <a:chExt cx="7452359" cy="731063"/>
        </a:xfrm>
      </xdr:grpSpPr>
      <xdr:sp macro="" textlink="">
        <xdr:nvSpPr>
          <xdr:cNvPr id="9" name="FOOTER_BG">
            <a:extLst>
              <a:ext uri="{FF2B5EF4-FFF2-40B4-BE49-F238E27FC236}">
                <a16:creationId xmlns:a16="http://schemas.microsoft.com/office/drawing/2014/main" id="{00000000-0008-0000-0000-000009000000}"/>
              </a:ext>
            </a:extLst>
          </xdr:cNvPr>
          <xdr:cNvSpPr/>
        </xdr:nvSpPr>
        <xdr:spPr>
          <a:xfrm>
            <a:off x="9296399" y="16259179"/>
            <a:ext cx="7452359" cy="731059"/>
          </a:xfrm>
          <a:prstGeom prst="rect">
            <a:avLst/>
          </a:prstGeom>
          <a:solidFill>
            <a:srgbClr val="A6CE43"/>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rtlCol="0" anchor="ctr"/>
          <a:lstStyle/>
          <a:p>
            <a:pPr marL="0" marR="0" indent="0" algn="r" defTabSz="914400" eaLnBrk="1" fontAlgn="auto" latinLnBrk="0" hangingPunct="1">
              <a:lnSpc>
                <a:spcPct val="100000"/>
              </a:lnSpc>
              <a:spcBef>
                <a:spcPts val="0"/>
              </a:spcBef>
              <a:spcAft>
                <a:spcPts val="0"/>
              </a:spcAft>
              <a:buClrTx/>
              <a:buSzTx/>
              <a:buFontTx/>
              <a:buNone/>
              <a:tabLst/>
              <a:defRPr/>
            </a:pPr>
            <a:r>
              <a:rPr lang="en-US" sz="900" b="1">
                <a:solidFill>
                  <a:schemeClr val="lt1"/>
                </a:solidFill>
                <a:latin typeface="Arial" pitchFamily="34" charset="0"/>
                <a:ea typeface="+mn-ea"/>
                <a:cs typeface="Arial" pitchFamily="34" charset="0"/>
              </a:rPr>
              <a:t> AHEAD</a:t>
            </a:r>
            <a:r>
              <a:rPr lang="en-US" sz="900" b="1" baseline="0">
                <a:solidFill>
                  <a:schemeClr val="lt1"/>
                </a:solidFill>
                <a:latin typeface="Arial" pitchFamily="34" charset="0"/>
                <a:ea typeface="+mn-ea"/>
                <a:cs typeface="Arial" pitchFamily="34" charset="0"/>
              </a:rPr>
              <a:t> Program Application</a:t>
            </a:r>
            <a:endParaRPr lang="en-US" sz="900" b="1">
              <a:latin typeface="Arial" pitchFamily="34" charset="0"/>
              <a:cs typeface="Arial" pitchFamily="34" charset="0"/>
            </a:endParaRPr>
          </a:p>
        </xdr:txBody>
      </xdr:sp>
      <xdr:sp macro="" textlink="">
        <xdr:nvSpPr>
          <xdr:cNvPr id="25" name="FOOTER_LINK_PAGETOP">
            <a:hlinkClick xmlns:r="http://schemas.openxmlformats.org/officeDocument/2006/relationships" r:id="rId7"/>
            <a:extLst>
              <a:ext uri="{FF2B5EF4-FFF2-40B4-BE49-F238E27FC236}">
                <a16:creationId xmlns:a16="http://schemas.microsoft.com/office/drawing/2014/main" id="{00000000-0008-0000-0000-000019000000}"/>
              </a:ext>
            </a:extLst>
          </xdr:cNvPr>
          <xdr:cNvSpPr/>
        </xdr:nvSpPr>
        <xdr:spPr>
          <a:xfrm>
            <a:off x="9296399" y="16259175"/>
            <a:ext cx="1126715" cy="731059"/>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900" b="1" u="none">
                <a:latin typeface="Arial" pitchFamily="34" charset="0"/>
                <a:cs typeface="Arial" pitchFamily="34" charset="0"/>
              </a:rPr>
              <a:t>^ Back to Top</a:t>
            </a:r>
          </a:p>
        </xdr:txBody>
      </xdr:sp>
    </xdr:grpSp>
    <xdr:clientData fPrintsWithSheet="0"/>
  </xdr:twoCellAnchor>
  <xdr:twoCellAnchor editAs="oneCell">
    <xdr:from>
      <xdr:col>21</xdr:col>
      <xdr:colOff>152401</xdr:colOff>
      <xdr:row>24</xdr:row>
      <xdr:rowOff>0</xdr:rowOff>
    </xdr:from>
    <xdr:to>
      <xdr:col>24</xdr:col>
      <xdr:colOff>99696</xdr:colOff>
      <xdr:row>25</xdr:row>
      <xdr:rowOff>23495</xdr:rowOff>
    </xdr:to>
    <xdr:sp macro="" textlink="">
      <xdr:nvSpPr>
        <xdr:cNvPr id="44" name="LINK_RENTAL_TOC">
          <a:hlinkClick xmlns:r="http://schemas.openxmlformats.org/officeDocument/2006/relationships" r:id="rId7"/>
          <a:extLst>
            <a:ext uri="{FF2B5EF4-FFF2-40B4-BE49-F238E27FC236}">
              <a16:creationId xmlns:a16="http://schemas.microsoft.com/office/drawing/2014/main" id="{00000000-0008-0000-0000-00002C000000}"/>
            </a:ext>
          </a:extLst>
        </xdr:cNvPr>
        <xdr:cNvSpPr/>
      </xdr:nvSpPr>
      <xdr:spPr>
        <a:xfrm>
          <a:off x="14525626" y="5067300"/>
          <a:ext cx="1028700" cy="3048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r"/>
          <a:r>
            <a:rPr lang="en-US" sz="900" b="1" u="none">
              <a:solidFill>
                <a:schemeClr val="bg1"/>
              </a:solidFill>
              <a:latin typeface="Arial" pitchFamily="34" charset="0"/>
              <a:cs typeface="Arial" pitchFamily="34" charset="0"/>
            </a:rPr>
            <a:t>Back</a:t>
          </a:r>
          <a:r>
            <a:rPr lang="en-US" sz="900" b="1" u="none" baseline="0">
              <a:solidFill>
                <a:schemeClr val="bg1"/>
              </a:solidFill>
              <a:latin typeface="Arial" pitchFamily="34" charset="0"/>
              <a:cs typeface="Arial" pitchFamily="34" charset="0"/>
            </a:rPr>
            <a:t> to Top ^</a:t>
          </a:r>
          <a:endParaRPr lang="en-US" sz="900" b="1" u="none">
            <a:solidFill>
              <a:schemeClr val="bg1"/>
            </a:solidFill>
            <a:latin typeface="Arial" pitchFamily="34" charset="0"/>
            <a:cs typeface="Arial" pitchFamily="34" charset="0"/>
          </a:endParaRPr>
        </a:p>
      </xdr:txBody>
    </xdr:sp>
    <xdr:clientData fPrintsWithSheet="0"/>
  </xdr:twoCellAnchor>
  <xdr:twoCellAnchor editAs="oneCell">
    <xdr:from>
      <xdr:col>14</xdr:col>
      <xdr:colOff>3398</xdr:colOff>
      <xdr:row>0</xdr:row>
      <xdr:rowOff>71440</xdr:rowOff>
    </xdr:from>
    <xdr:to>
      <xdr:col>24</xdr:col>
      <xdr:colOff>92298</xdr:colOff>
      <xdr:row>0</xdr:row>
      <xdr:rowOff>290195</xdr:rowOff>
    </xdr:to>
    <xdr:sp macro="" textlink="$B$6">
      <xdr:nvSpPr>
        <xdr:cNvPr id="35" name="HEADER_BANNER_TITLE">
          <a:extLst>
            <a:ext uri="{FF2B5EF4-FFF2-40B4-BE49-F238E27FC236}">
              <a16:creationId xmlns:a16="http://schemas.microsoft.com/office/drawing/2014/main" id="{00000000-0008-0000-0000-000023000000}"/>
            </a:ext>
          </a:extLst>
        </xdr:cNvPr>
        <xdr:cNvSpPr txBox="1"/>
      </xdr:nvSpPr>
      <xdr:spPr>
        <a:xfrm>
          <a:off x="2851373" y="71440"/>
          <a:ext cx="4572000" cy="2238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rIns="0" rtlCol="0" anchor="ctr">
          <a:noAutofit/>
        </a:bodyPr>
        <a:lstStyle/>
        <a:p>
          <a:pPr algn="r"/>
          <a:fld id="{EB7A598A-0828-4A2E-81B0-26C15BB3F65D}" type="TxLink">
            <a:rPr lang="en-US" sz="1050" b="1" i="0" u="none" strike="noStrike">
              <a:solidFill>
                <a:sysClr val="windowText" lastClr="000000"/>
              </a:solidFill>
              <a:latin typeface="Arial" pitchFamily="34" charset="0"/>
              <a:cs typeface="Arial" pitchFamily="34" charset="0"/>
            </a:rPr>
            <a:pPr algn="r"/>
            <a:t>AHEAD Program Application</a:t>
          </a:fld>
          <a:endParaRPr lang="en-US" sz="1050" b="1" i="0">
            <a:solidFill>
              <a:sysClr val="windowText" lastClr="000000"/>
            </a:solidFill>
            <a:latin typeface="Arial" pitchFamily="34" charset="0"/>
            <a:cs typeface="Arial" pitchFamily="34" charset="0"/>
          </a:endParaRPr>
        </a:p>
      </xdr:txBody>
    </xdr:sp>
    <xdr:clientData/>
  </xdr:twoCellAnchor>
  <xdr:twoCellAnchor editAs="oneCell">
    <xdr:from>
      <xdr:col>21</xdr:col>
      <xdr:colOff>152401</xdr:colOff>
      <xdr:row>32</xdr:row>
      <xdr:rowOff>238125</xdr:rowOff>
    </xdr:from>
    <xdr:to>
      <xdr:col>24</xdr:col>
      <xdr:colOff>99696</xdr:colOff>
      <xdr:row>33</xdr:row>
      <xdr:rowOff>266700</xdr:rowOff>
    </xdr:to>
    <xdr:sp macro="" textlink="">
      <xdr:nvSpPr>
        <xdr:cNvPr id="77" name="LINK_RENTAL_TOC">
          <a:hlinkClick xmlns:r="http://schemas.openxmlformats.org/officeDocument/2006/relationships" r:id="rId7"/>
          <a:extLst>
            <a:ext uri="{FF2B5EF4-FFF2-40B4-BE49-F238E27FC236}">
              <a16:creationId xmlns:a16="http://schemas.microsoft.com/office/drawing/2014/main" id="{00000000-0008-0000-0000-00004D000000}"/>
            </a:ext>
          </a:extLst>
        </xdr:cNvPr>
        <xdr:cNvSpPr/>
      </xdr:nvSpPr>
      <xdr:spPr>
        <a:xfrm>
          <a:off x="6400801" y="7267575"/>
          <a:ext cx="1028700" cy="3048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r"/>
          <a:r>
            <a:rPr lang="en-US" sz="900" b="1" u="none">
              <a:solidFill>
                <a:schemeClr val="bg1"/>
              </a:solidFill>
              <a:latin typeface="Arial" pitchFamily="34" charset="0"/>
              <a:cs typeface="Arial" pitchFamily="34" charset="0"/>
            </a:rPr>
            <a:t>Back</a:t>
          </a:r>
          <a:r>
            <a:rPr lang="en-US" sz="900" b="1" u="none" baseline="0">
              <a:solidFill>
                <a:schemeClr val="bg1"/>
              </a:solidFill>
              <a:latin typeface="Arial" pitchFamily="34" charset="0"/>
              <a:cs typeface="Arial" pitchFamily="34" charset="0"/>
            </a:rPr>
            <a:t> to Top ^</a:t>
          </a:r>
          <a:endParaRPr lang="en-US" sz="900" b="1" u="none">
            <a:solidFill>
              <a:schemeClr val="bg1"/>
            </a:solidFill>
            <a:latin typeface="Arial" pitchFamily="34" charset="0"/>
            <a:cs typeface="Arial" pitchFamily="34" charset="0"/>
          </a:endParaRPr>
        </a:p>
      </xdr:txBody>
    </xdr:sp>
    <xdr:clientData fPrintsWithSheet="0"/>
  </xdr:twoCellAnchor>
  <xdr:twoCellAnchor editAs="oneCell">
    <xdr:from>
      <xdr:col>21</xdr:col>
      <xdr:colOff>161925</xdr:colOff>
      <xdr:row>44</xdr:row>
      <xdr:rowOff>257175</xdr:rowOff>
    </xdr:from>
    <xdr:to>
      <xdr:col>24</xdr:col>
      <xdr:colOff>114300</xdr:colOff>
      <xdr:row>46</xdr:row>
      <xdr:rowOff>21590</xdr:rowOff>
    </xdr:to>
    <xdr:sp macro="" textlink="">
      <xdr:nvSpPr>
        <xdr:cNvPr id="57" name="LINK_RENTAL_TOC">
          <a:hlinkClick xmlns:r="http://schemas.openxmlformats.org/officeDocument/2006/relationships" r:id="rId7"/>
          <a:extLst>
            <a:ext uri="{FF2B5EF4-FFF2-40B4-BE49-F238E27FC236}">
              <a16:creationId xmlns:a16="http://schemas.microsoft.com/office/drawing/2014/main" id="{00000000-0008-0000-0000-000039000000}"/>
            </a:ext>
          </a:extLst>
        </xdr:cNvPr>
        <xdr:cNvSpPr/>
      </xdr:nvSpPr>
      <xdr:spPr>
        <a:xfrm>
          <a:off x="6410325" y="10601325"/>
          <a:ext cx="1028700" cy="3048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r"/>
          <a:r>
            <a:rPr lang="en-US" sz="900" b="1" u="none">
              <a:solidFill>
                <a:schemeClr val="bg1"/>
              </a:solidFill>
              <a:latin typeface="Arial" pitchFamily="34" charset="0"/>
              <a:cs typeface="Arial" pitchFamily="34" charset="0"/>
            </a:rPr>
            <a:t>Back</a:t>
          </a:r>
          <a:r>
            <a:rPr lang="en-US" sz="900" b="1" u="none" baseline="0">
              <a:solidFill>
                <a:schemeClr val="bg1"/>
              </a:solidFill>
              <a:latin typeface="Arial" pitchFamily="34" charset="0"/>
              <a:cs typeface="Arial" pitchFamily="34" charset="0"/>
            </a:rPr>
            <a:t> to Top ^</a:t>
          </a:r>
          <a:endParaRPr lang="en-US" sz="900" b="1" u="none">
            <a:solidFill>
              <a:schemeClr val="bg1"/>
            </a:solidFill>
            <a:latin typeface="Arial" pitchFamily="34" charset="0"/>
            <a:cs typeface="Arial" pitchFamily="34" charset="0"/>
          </a:endParaRPr>
        </a:p>
      </xdr:txBody>
    </xdr:sp>
    <xdr:clientData fPrintsWithSheet="0"/>
  </xdr:twoCellAnchor>
  <xdr:twoCellAnchor editAs="oneCell">
    <xdr:from>
      <xdr:col>21</xdr:col>
      <xdr:colOff>152400</xdr:colOff>
      <xdr:row>95</xdr:row>
      <xdr:rowOff>0</xdr:rowOff>
    </xdr:from>
    <xdr:to>
      <xdr:col>24</xdr:col>
      <xdr:colOff>99695</xdr:colOff>
      <xdr:row>96</xdr:row>
      <xdr:rowOff>23495</xdr:rowOff>
    </xdr:to>
    <xdr:sp macro="" textlink="">
      <xdr:nvSpPr>
        <xdr:cNvPr id="72" name="LINK_RENTAL_TOC">
          <a:hlinkClick xmlns:r="http://schemas.openxmlformats.org/officeDocument/2006/relationships" r:id="rId7"/>
          <a:extLst>
            <a:ext uri="{FF2B5EF4-FFF2-40B4-BE49-F238E27FC236}">
              <a16:creationId xmlns:a16="http://schemas.microsoft.com/office/drawing/2014/main" id="{00000000-0008-0000-0000-000048000000}"/>
            </a:ext>
          </a:extLst>
        </xdr:cNvPr>
        <xdr:cNvSpPr/>
      </xdr:nvSpPr>
      <xdr:spPr>
        <a:xfrm>
          <a:off x="14525625" y="17049750"/>
          <a:ext cx="1028700" cy="3048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r"/>
          <a:r>
            <a:rPr lang="en-US" sz="900" b="1" u="none">
              <a:solidFill>
                <a:schemeClr val="bg1"/>
              </a:solidFill>
              <a:latin typeface="Arial" pitchFamily="34" charset="0"/>
              <a:cs typeface="Arial" pitchFamily="34" charset="0"/>
            </a:rPr>
            <a:t>Back</a:t>
          </a:r>
          <a:r>
            <a:rPr lang="en-US" sz="900" b="1" u="none" baseline="0">
              <a:solidFill>
                <a:schemeClr val="bg1"/>
              </a:solidFill>
              <a:latin typeface="Arial" pitchFamily="34" charset="0"/>
              <a:cs typeface="Arial" pitchFamily="34" charset="0"/>
            </a:rPr>
            <a:t> to Top ^</a:t>
          </a:r>
          <a:endParaRPr lang="en-US" sz="900" b="1" u="none">
            <a:solidFill>
              <a:schemeClr val="bg1"/>
            </a:solidFill>
            <a:latin typeface="Arial" pitchFamily="34" charset="0"/>
            <a:cs typeface="Arial" pitchFamily="34" charset="0"/>
          </a:endParaRPr>
        </a:p>
      </xdr:txBody>
    </xdr:sp>
    <xdr:clientData fPrintsWithSheet="0"/>
  </xdr:twoCellAnchor>
  <xdr:twoCellAnchor editAs="oneCell">
    <xdr:from>
      <xdr:col>21</xdr:col>
      <xdr:colOff>161925</xdr:colOff>
      <xdr:row>214</xdr:row>
      <xdr:rowOff>0</xdr:rowOff>
    </xdr:from>
    <xdr:to>
      <xdr:col>24</xdr:col>
      <xdr:colOff>114300</xdr:colOff>
      <xdr:row>215</xdr:row>
      <xdr:rowOff>23495</xdr:rowOff>
    </xdr:to>
    <xdr:sp macro="" textlink="">
      <xdr:nvSpPr>
        <xdr:cNvPr id="123" name="LINK_RENTAL_TOC">
          <a:hlinkClick xmlns:r="http://schemas.openxmlformats.org/officeDocument/2006/relationships" r:id="rId7"/>
          <a:extLst>
            <a:ext uri="{FF2B5EF4-FFF2-40B4-BE49-F238E27FC236}">
              <a16:creationId xmlns:a16="http://schemas.microsoft.com/office/drawing/2014/main" id="{00000000-0008-0000-0000-00007B000000}"/>
            </a:ext>
          </a:extLst>
        </xdr:cNvPr>
        <xdr:cNvSpPr/>
      </xdr:nvSpPr>
      <xdr:spPr>
        <a:xfrm>
          <a:off x="14535150" y="25231725"/>
          <a:ext cx="1028700" cy="3048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r"/>
          <a:r>
            <a:rPr lang="en-US" sz="900" b="1" u="none">
              <a:solidFill>
                <a:schemeClr val="bg1"/>
              </a:solidFill>
              <a:latin typeface="Arial" pitchFamily="34" charset="0"/>
              <a:cs typeface="Arial" pitchFamily="34" charset="0"/>
            </a:rPr>
            <a:t>Back</a:t>
          </a:r>
          <a:r>
            <a:rPr lang="en-US" sz="900" b="1" u="none" baseline="0">
              <a:solidFill>
                <a:schemeClr val="bg1"/>
              </a:solidFill>
              <a:latin typeface="Arial" pitchFamily="34" charset="0"/>
              <a:cs typeface="Arial" pitchFamily="34" charset="0"/>
            </a:rPr>
            <a:t> to Top ^</a:t>
          </a:r>
          <a:endParaRPr lang="en-US" sz="900" b="1" u="none">
            <a:solidFill>
              <a:schemeClr val="bg1"/>
            </a:solidFill>
            <a:latin typeface="Arial" pitchFamily="34" charset="0"/>
            <a:cs typeface="Arial" pitchFamily="34" charset="0"/>
          </a:endParaRPr>
        </a:p>
      </xdr:txBody>
    </xdr:sp>
    <xdr:clientData fPrintsWithSheet="0"/>
  </xdr:twoCellAnchor>
  <xdr:twoCellAnchor editAs="oneCell">
    <xdr:from>
      <xdr:col>7</xdr:col>
      <xdr:colOff>66673</xdr:colOff>
      <xdr:row>16</xdr:row>
      <xdr:rowOff>247654</xdr:rowOff>
    </xdr:from>
    <xdr:to>
      <xdr:col>24</xdr:col>
      <xdr:colOff>112394</xdr:colOff>
      <xdr:row>23</xdr:row>
      <xdr:rowOff>2</xdr:rowOff>
    </xdr:to>
    <xdr:grpSp>
      <xdr:nvGrpSpPr>
        <xdr:cNvPr id="330" name="TOC_FRAME">
          <a:extLst>
            <a:ext uri="{FF2B5EF4-FFF2-40B4-BE49-F238E27FC236}">
              <a16:creationId xmlns:a16="http://schemas.microsoft.com/office/drawing/2014/main" id="{00000000-0008-0000-0000-00004A010000}"/>
            </a:ext>
          </a:extLst>
        </xdr:cNvPr>
        <xdr:cNvGrpSpPr/>
      </xdr:nvGrpSpPr>
      <xdr:grpSpPr>
        <a:xfrm>
          <a:off x="66673" y="3625854"/>
          <a:ext cx="7735571" cy="1708148"/>
          <a:chOff x="8191498" y="1276171"/>
          <a:chExt cx="7370446" cy="1718375"/>
        </a:xfrm>
      </xdr:grpSpPr>
      <xdr:grpSp>
        <xdr:nvGrpSpPr>
          <xdr:cNvPr id="323" name="RENTAL_TABLE_OF_CONTENTS">
            <a:extLst>
              <a:ext uri="{FF2B5EF4-FFF2-40B4-BE49-F238E27FC236}">
                <a16:creationId xmlns:a16="http://schemas.microsoft.com/office/drawing/2014/main" id="{00000000-0008-0000-0000-000043010000}"/>
              </a:ext>
            </a:extLst>
          </xdr:cNvPr>
          <xdr:cNvGrpSpPr/>
        </xdr:nvGrpSpPr>
        <xdr:grpSpPr>
          <a:xfrm>
            <a:off x="8191500" y="1276171"/>
            <a:ext cx="7370444" cy="1718375"/>
            <a:chOff x="8191500" y="1276171"/>
            <a:chExt cx="7370444" cy="1718375"/>
          </a:xfrm>
        </xdr:grpSpPr>
        <xdr:sp macro="" textlink="">
          <xdr:nvSpPr>
            <xdr:cNvPr id="50" name="TOC_HEADER_BG">
              <a:extLst>
                <a:ext uri="{FF2B5EF4-FFF2-40B4-BE49-F238E27FC236}">
                  <a16:creationId xmlns:a16="http://schemas.microsoft.com/office/drawing/2014/main" id="{00000000-0008-0000-0000-000032000000}"/>
                </a:ext>
              </a:extLst>
            </xdr:cNvPr>
            <xdr:cNvSpPr/>
          </xdr:nvSpPr>
          <xdr:spPr>
            <a:xfrm>
              <a:off x="8201023" y="1601685"/>
              <a:ext cx="7360921" cy="275969"/>
            </a:xfrm>
            <a:prstGeom prst="rect">
              <a:avLst/>
            </a:prstGeom>
            <a:solidFill>
              <a:schemeClr val="accent1">
                <a:lumMod val="20000"/>
                <a:lumOff val="8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endParaRPr lang="en-US" sz="1050">
                <a:latin typeface="Arial" pitchFamily="34" charset="0"/>
                <a:cs typeface="Arial" pitchFamily="34" charset="0"/>
              </a:endParaRPr>
            </a:p>
          </xdr:txBody>
        </xdr:sp>
        <xdr:grpSp>
          <xdr:nvGrpSpPr>
            <xdr:cNvPr id="28" name="TOC">
              <a:extLst>
                <a:ext uri="{FF2B5EF4-FFF2-40B4-BE49-F238E27FC236}">
                  <a16:creationId xmlns:a16="http://schemas.microsoft.com/office/drawing/2014/main" id="{00000000-0008-0000-0000-00001C000000}"/>
                </a:ext>
              </a:extLst>
            </xdr:cNvPr>
            <xdr:cNvGrpSpPr/>
          </xdr:nvGrpSpPr>
          <xdr:grpSpPr>
            <a:xfrm>
              <a:off x="8191500" y="1276171"/>
              <a:ext cx="7362825" cy="1718375"/>
              <a:chOff x="9239250" y="1816952"/>
              <a:chExt cx="7362825" cy="1324880"/>
            </a:xfrm>
            <a:effectLst/>
          </xdr:grpSpPr>
          <xdr:sp macro="" textlink="">
            <xdr:nvSpPr>
              <xdr:cNvPr id="31" name="Rectangle 30">
                <a:extLst>
                  <a:ext uri="{FF2B5EF4-FFF2-40B4-BE49-F238E27FC236}">
                    <a16:creationId xmlns:a16="http://schemas.microsoft.com/office/drawing/2014/main" id="{00000000-0008-0000-0000-00001F000000}"/>
                  </a:ext>
                </a:extLst>
              </xdr:cNvPr>
              <xdr:cNvSpPr/>
            </xdr:nvSpPr>
            <xdr:spPr>
              <a:xfrm>
                <a:off x="9239250" y="2052093"/>
                <a:ext cx="7362825" cy="1089739"/>
              </a:xfrm>
              <a:prstGeom prst="rect">
                <a:avLst/>
              </a:prstGeom>
              <a:no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endParaRPr lang="en-US" sz="1050">
                  <a:latin typeface="Arial" pitchFamily="34" charset="0"/>
                  <a:cs typeface="Arial" pitchFamily="34" charset="0"/>
                </a:endParaRPr>
              </a:p>
            </xdr:txBody>
          </xdr:sp>
          <xdr:sp macro="" textlink="">
            <xdr:nvSpPr>
              <xdr:cNvPr id="45" name="TOC_TITLE">
                <a:extLst>
                  <a:ext uri="{FF2B5EF4-FFF2-40B4-BE49-F238E27FC236}">
                    <a16:creationId xmlns:a16="http://schemas.microsoft.com/office/drawing/2014/main" id="{00000000-0008-0000-0000-00002D000000}"/>
                  </a:ext>
                </a:extLst>
              </xdr:cNvPr>
              <xdr:cNvSpPr/>
            </xdr:nvSpPr>
            <xdr:spPr>
              <a:xfrm>
                <a:off x="9239250" y="1816952"/>
                <a:ext cx="7360920" cy="244295"/>
              </a:xfrm>
              <a:prstGeom prst="rect">
                <a:avLst/>
              </a:prstGeom>
              <a:solidFill>
                <a:srgbClr val="9CACB9"/>
              </a:solid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l"/>
                <a:r>
                  <a:rPr lang="en-US" sz="1100" b="1">
                    <a:solidFill>
                      <a:schemeClr val="bg1"/>
                    </a:solidFill>
                    <a:latin typeface="Arial" pitchFamily="34" charset="0"/>
                    <a:cs typeface="Arial" pitchFamily="34" charset="0"/>
                  </a:rPr>
                  <a:t>Application Table of Contents</a:t>
                </a:r>
              </a:p>
            </xdr:txBody>
          </xdr:sp>
        </xdr:grpSp>
        <xdr:sp macro="" textlink="">
          <xdr:nvSpPr>
            <xdr:cNvPr id="51" name="TOC_HEADER_LABEL_1">
              <a:extLst>
                <a:ext uri="{FF2B5EF4-FFF2-40B4-BE49-F238E27FC236}">
                  <a16:creationId xmlns:a16="http://schemas.microsoft.com/office/drawing/2014/main" id="{00000000-0008-0000-0000-000033000000}"/>
                </a:ext>
              </a:extLst>
            </xdr:cNvPr>
            <xdr:cNvSpPr txBox="1"/>
          </xdr:nvSpPr>
          <xdr:spPr>
            <a:xfrm>
              <a:off x="8302028" y="1630443"/>
              <a:ext cx="2137372" cy="2644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lIns="0" rtlCol="0" anchor="t">
              <a:noAutofit/>
            </a:bodyPr>
            <a:lstStyle/>
            <a:p>
              <a:r>
                <a:rPr lang="en-US" sz="900" b="1">
                  <a:latin typeface="Arial" pitchFamily="34" charset="0"/>
                  <a:cs typeface="Arial" pitchFamily="34" charset="0"/>
                </a:rPr>
                <a:t>Section</a:t>
              </a:r>
            </a:p>
          </xdr:txBody>
        </xdr:sp>
        <xdr:sp macro="" textlink="">
          <xdr:nvSpPr>
            <xdr:cNvPr id="52" name="TOC_HEADER_LABEL_1">
              <a:extLst>
                <a:ext uri="{FF2B5EF4-FFF2-40B4-BE49-F238E27FC236}">
                  <a16:creationId xmlns:a16="http://schemas.microsoft.com/office/drawing/2014/main" id="{00000000-0008-0000-0000-000034000000}"/>
                </a:ext>
              </a:extLst>
            </xdr:cNvPr>
            <xdr:cNvSpPr txBox="1"/>
          </xdr:nvSpPr>
          <xdr:spPr>
            <a:xfrm>
              <a:off x="10988755" y="1630443"/>
              <a:ext cx="876784" cy="2644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rtlCol="0" anchor="t">
              <a:noAutofit/>
            </a:bodyPr>
            <a:lstStyle/>
            <a:p>
              <a:r>
                <a:rPr lang="en-US" sz="900" b="1">
                  <a:latin typeface="Arial" pitchFamily="34" charset="0"/>
                  <a:cs typeface="Arial" pitchFamily="34" charset="0"/>
                </a:rPr>
                <a:t>Progress</a:t>
              </a:r>
            </a:p>
          </xdr:txBody>
        </xdr:sp>
        <xdr:sp macro="" textlink="">
          <xdr:nvSpPr>
            <xdr:cNvPr id="53" name="TOC_HEADER_LABEL_3">
              <a:extLst>
                <a:ext uri="{FF2B5EF4-FFF2-40B4-BE49-F238E27FC236}">
                  <a16:creationId xmlns:a16="http://schemas.microsoft.com/office/drawing/2014/main" id="{00000000-0008-0000-0000-000035000000}"/>
                </a:ext>
              </a:extLst>
            </xdr:cNvPr>
            <xdr:cNvSpPr txBox="1"/>
          </xdr:nvSpPr>
          <xdr:spPr>
            <a:xfrm>
              <a:off x="11990098" y="1630443"/>
              <a:ext cx="1226450" cy="2644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lIns="0" rtlCol="0" anchor="t">
              <a:noAutofit/>
            </a:bodyPr>
            <a:lstStyle/>
            <a:p>
              <a:r>
                <a:rPr lang="en-US" sz="900" b="1">
                  <a:latin typeface="Arial" pitchFamily="34" charset="0"/>
                  <a:cs typeface="Arial" pitchFamily="34" charset="0"/>
                </a:rPr>
                <a:t>Section	</a:t>
              </a:r>
            </a:p>
          </xdr:txBody>
        </xdr:sp>
        <xdr:sp macro="" textlink="">
          <xdr:nvSpPr>
            <xdr:cNvPr id="54" name="TOC_HEADER_LABEL_4">
              <a:extLst>
                <a:ext uri="{FF2B5EF4-FFF2-40B4-BE49-F238E27FC236}">
                  <a16:creationId xmlns:a16="http://schemas.microsoft.com/office/drawing/2014/main" id="{00000000-0008-0000-0000-000036000000}"/>
                </a:ext>
              </a:extLst>
            </xdr:cNvPr>
            <xdr:cNvSpPr txBox="1"/>
          </xdr:nvSpPr>
          <xdr:spPr>
            <a:xfrm>
              <a:off x="14554212" y="1630443"/>
              <a:ext cx="871248" cy="2644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rtlCol="0" anchor="t">
              <a:noAutofit/>
            </a:bodyPr>
            <a:lstStyle/>
            <a:p>
              <a:r>
                <a:rPr lang="en-US" sz="900" b="1">
                  <a:latin typeface="Arial" pitchFamily="34" charset="0"/>
                  <a:cs typeface="Arial" pitchFamily="34" charset="0"/>
                </a:rPr>
                <a:t>Progress</a:t>
              </a:r>
            </a:p>
          </xdr:txBody>
        </xdr:sp>
      </xdr:grpSp>
      <xdr:cxnSp macro="">
        <xdr:nvCxnSpPr>
          <xdr:cNvPr id="56" name="TOC_HEADER_VLINE">
            <a:extLst>
              <a:ext uri="{FF2B5EF4-FFF2-40B4-BE49-F238E27FC236}">
                <a16:creationId xmlns:a16="http://schemas.microsoft.com/office/drawing/2014/main" id="{00000000-0008-0000-0000-000038000000}"/>
              </a:ext>
            </a:extLst>
          </xdr:cNvPr>
          <xdr:cNvCxnSpPr>
            <a:endCxn id="31" idx="2"/>
          </xdr:cNvCxnSpPr>
        </xdr:nvCxnSpPr>
        <xdr:spPr>
          <a:xfrm>
            <a:off x="11870737" y="1596774"/>
            <a:ext cx="2176" cy="1397770"/>
          </a:xfrm>
          <a:prstGeom prst="line">
            <a:avLst/>
          </a:prstGeom>
          <a:ln>
            <a:solidFill>
              <a:schemeClr val="bg1">
                <a:lumMod val="75000"/>
              </a:schemeClr>
            </a:solidFill>
          </a:ln>
          <a:effectLst>
            <a:innerShdw blurRad="63500" dist="50800" dir="13500000">
              <a:prstClr val="black">
                <a:alpha val="50000"/>
              </a:prstClr>
            </a:innerShdw>
          </a:effectLst>
        </xdr:spPr>
        <xdr:style>
          <a:lnRef idx="1">
            <a:schemeClr val="accent1"/>
          </a:lnRef>
          <a:fillRef idx="0">
            <a:schemeClr val="accent1"/>
          </a:fillRef>
          <a:effectRef idx="0">
            <a:schemeClr val="accent1"/>
          </a:effectRef>
          <a:fontRef idx="minor">
            <a:schemeClr val="tx1"/>
          </a:fontRef>
        </xdr:style>
      </xdr:cxnSp>
      <xdr:grpSp>
        <xdr:nvGrpSpPr>
          <xdr:cNvPr id="273" name="TOC_HORIZONTAL_DIVIDERS">
            <a:extLst>
              <a:ext uri="{FF2B5EF4-FFF2-40B4-BE49-F238E27FC236}">
                <a16:creationId xmlns:a16="http://schemas.microsoft.com/office/drawing/2014/main" id="{00000000-0008-0000-0000-000011010000}"/>
              </a:ext>
            </a:extLst>
          </xdr:cNvPr>
          <xdr:cNvGrpSpPr/>
        </xdr:nvGrpSpPr>
        <xdr:grpSpPr>
          <a:xfrm>
            <a:off x="8191498" y="2152468"/>
            <a:ext cx="7362825" cy="562157"/>
            <a:chOff x="8191498" y="2152468"/>
            <a:chExt cx="7362825" cy="562157"/>
          </a:xfrm>
        </xdr:grpSpPr>
        <xdr:cxnSp macro="">
          <xdr:nvCxnSpPr>
            <xdr:cNvPr id="207" name="DOTTED_LINE">
              <a:extLst>
                <a:ext uri="{FF2B5EF4-FFF2-40B4-BE49-F238E27FC236}">
                  <a16:creationId xmlns:a16="http://schemas.microsoft.com/office/drawing/2014/main" id="{00000000-0008-0000-0000-0000CF000000}"/>
                </a:ext>
              </a:extLst>
            </xdr:cNvPr>
            <xdr:cNvCxnSpPr/>
          </xdr:nvCxnSpPr>
          <xdr:spPr>
            <a:xfrm flipH="1">
              <a:off x="8191498" y="2152468"/>
              <a:ext cx="7362825" cy="0"/>
            </a:xfrm>
            <a:prstGeom prst="line">
              <a:avLst/>
            </a:prstGeom>
            <a:ln w="9525" cap="rnd">
              <a:solidFill>
                <a:schemeClr val="bg1">
                  <a:lumMod val="85000"/>
                </a:schemeClr>
              </a:solidFill>
              <a:prstDash val="solid"/>
              <a:round/>
            </a:ln>
          </xdr:spPr>
          <xdr:style>
            <a:lnRef idx="1">
              <a:schemeClr val="dk1"/>
            </a:lnRef>
            <a:fillRef idx="0">
              <a:schemeClr val="dk1"/>
            </a:fillRef>
            <a:effectRef idx="0">
              <a:schemeClr val="dk1"/>
            </a:effectRef>
            <a:fontRef idx="minor">
              <a:schemeClr val="tx1"/>
            </a:fontRef>
          </xdr:style>
        </xdr:cxnSp>
        <xdr:cxnSp macro="">
          <xdr:nvCxnSpPr>
            <xdr:cNvPr id="239" name="DOTTED_LINE">
              <a:extLst>
                <a:ext uri="{FF2B5EF4-FFF2-40B4-BE49-F238E27FC236}">
                  <a16:creationId xmlns:a16="http://schemas.microsoft.com/office/drawing/2014/main" id="{00000000-0008-0000-0000-0000EF000000}"/>
                </a:ext>
              </a:extLst>
            </xdr:cNvPr>
            <xdr:cNvCxnSpPr/>
          </xdr:nvCxnSpPr>
          <xdr:spPr>
            <a:xfrm flipH="1">
              <a:off x="8191498" y="2428693"/>
              <a:ext cx="7360920" cy="0"/>
            </a:xfrm>
            <a:prstGeom prst="line">
              <a:avLst/>
            </a:prstGeom>
            <a:ln w="9525" cap="rnd">
              <a:solidFill>
                <a:schemeClr val="bg1">
                  <a:lumMod val="85000"/>
                </a:schemeClr>
              </a:solidFill>
              <a:prstDash val="solid"/>
              <a:round/>
            </a:ln>
          </xdr:spPr>
          <xdr:style>
            <a:lnRef idx="1">
              <a:schemeClr val="dk1"/>
            </a:lnRef>
            <a:fillRef idx="0">
              <a:schemeClr val="dk1"/>
            </a:fillRef>
            <a:effectRef idx="0">
              <a:schemeClr val="dk1"/>
            </a:effectRef>
            <a:fontRef idx="minor">
              <a:schemeClr val="tx1"/>
            </a:fontRef>
          </xdr:style>
        </xdr:cxnSp>
        <xdr:cxnSp macro="">
          <xdr:nvCxnSpPr>
            <xdr:cNvPr id="240" name="DOTTED_LINE">
              <a:extLst>
                <a:ext uri="{FF2B5EF4-FFF2-40B4-BE49-F238E27FC236}">
                  <a16:creationId xmlns:a16="http://schemas.microsoft.com/office/drawing/2014/main" id="{00000000-0008-0000-0000-0000F0000000}"/>
                </a:ext>
              </a:extLst>
            </xdr:cNvPr>
            <xdr:cNvCxnSpPr/>
          </xdr:nvCxnSpPr>
          <xdr:spPr>
            <a:xfrm flipH="1">
              <a:off x="8191498" y="2714625"/>
              <a:ext cx="7360920" cy="0"/>
            </a:xfrm>
            <a:prstGeom prst="line">
              <a:avLst/>
            </a:prstGeom>
            <a:ln w="9525" cap="rnd">
              <a:solidFill>
                <a:schemeClr val="bg1">
                  <a:lumMod val="85000"/>
                </a:schemeClr>
              </a:solidFill>
              <a:prstDash val="solid"/>
              <a:round/>
            </a:ln>
          </xdr:spPr>
          <xdr:style>
            <a:lnRef idx="1">
              <a:schemeClr val="dk1"/>
            </a:lnRef>
            <a:fillRef idx="0">
              <a:schemeClr val="dk1"/>
            </a:fillRef>
            <a:effectRef idx="0">
              <a:schemeClr val="dk1"/>
            </a:effectRef>
            <a:fontRef idx="minor">
              <a:schemeClr val="tx1"/>
            </a:fontRef>
          </xdr:style>
        </xdr:cxnSp>
      </xdr:grpSp>
    </xdr:grpSp>
    <xdr:clientData fPrintsWithSheet="0"/>
  </xdr:twoCellAnchor>
  <xdr:twoCellAnchor editAs="oneCell">
    <xdr:from>
      <xdr:col>7</xdr:col>
      <xdr:colOff>128523</xdr:colOff>
      <xdr:row>0</xdr:row>
      <xdr:rowOff>37735</xdr:rowOff>
    </xdr:from>
    <xdr:to>
      <xdr:col>10</xdr:col>
      <xdr:colOff>92455</xdr:colOff>
      <xdr:row>0</xdr:row>
      <xdr:rowOff>479296</xdr:rowOff>
    </xdr:to>
    <xdr:pic>
      <xdr:nvPicPr>
        <xdr:cNvPr id="218" name="COMPANY_LOGO">
          <a:extLst>
            <a:ext uri="{FF2B5EF4-FFF2-40B4-BE49-F238E27FC236}">
              <a16:creationId xmlns:a16="http://schemas.microsoft.com/office/drawing/2014/main" id="{00000000-0008-0000-0000-0000D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28523" y="37735"/>
          <a:ext cx="1033272" cy="442831"/>
        </a:xfrm>
        <a:prstGeom prst="rect">
          <a:avLst/>
        </a:prstGeom>
      </xdr:spPr>
    </xdr:pic>
    <xdr:clientData/>
  </xdr:twoCellAnchor>
  <xdr:twoCellAnchor editAs="oneCell">
    <xdr:from>
      <xdr:col>20</xdr:col>
      <xdr:colOff>60546</xdr:colOff>
      <xdr:row>0</xdr:row>
      <xdr:rowOff>308208</xdr:rowOff>
    </xdr:from>
    <xdr:to>
      <xdr:col>24</xdr:col>
      <xdr:colOff>92298</xdr:colOff>
      <xdr:row>0</xdr:row>
      <xdr:rowOff>482198</xdr:rowOff>
    </xdr:to>
    <xdr:sp macro="" textlink="$B$7">
      <xdr:nvSpPr>
        <xdr:cNvPr id="203" name="HEADER_BANNER_SUBTITLE">
          <a:extLst>
            <a:ext uri="{FF2B5EF4-FFF2-40B4-BE49-F238E27FC236}">
              <a16:creationId xmlns:a16="http://schemas.microsoft.com/office/drawing/2014/main" id="{00000000-0008-0000-0000-0000CB000000}"/>
            </a:ext>
          </a:extLst>
        </xdr:cNvPr>
        <xdr:cNvSpPr txBox="1"/>
      </xdr:nvSpPr>
      <xdr:spPr>
        <a:xfrm>
          <a:off x="5594571" y="308208"/>
          <a:ext cx="1828802" cy="18288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lIns="0" rIns="0" rtlCol="0" anchor="ctr">
          <a:noAutofit/>
        </a:bodyPr>
        <a:lstStyle/>
        <a:p>
          <a:pPr algn="r"/>
          <a:fld id="{93D86B4D-920F-47E7-BA16-C71CF0589F09}" type="TxLink">
            <a:rPr lang="en-US" sz="800" b="0" i="0" u="none" strike="noStrike" baseline="0">
              <a:solidFill>
                <a:srgbClr val="000000"/>
              </a:solidFill>
              <a:latin typeface="Arial"/>
              <a:cs typeface="Arial"/>
            </a:rPr>
            <a:pPr algn="r"/>
            <a:t>AHEAD Program (2026)</a:t>
          </a:fld>
          <a:endParaRPr lang="en-US" sz="800" b="0" i="0" u="none" strike="noStrike">
            <a:solidFill>
              <a:sysClr val="windowText" lastClr="000000"/>
            </a:solidFill>
            <a:latin typeface="Arial" pitchFamily="34" charset="0"/>
            <a:cs typeface="Arial" pitchFamily="34" charset="0"/>
          </a:endParaRPr>
        </a:p>
      </xdr:txBody>
    </xdr:sp>
    <xdr:clientData/>
  </xdr:twoCellAnchor>
  <xdr:twoCellAnchor editAs="oneCell">
    <xdr:from>
      <xdr:col>7</xdr:col>
      <xdr:colOff>9527</xdr:colOff>
      <xdr:row>0</xdr:row>
      <xdr:rowOff>1173</xdr:rowOff>
    </xdr:from>
    <xdr:to>
      <xdr:col>25</xdr:col>
      <xdr:colOff>0</xdr:colOff>
      <xdr:row>4</xdr:row>
      <xdr:rowOff>1821</xdr:rowOff>
    </xdr:to>
    <xdr:sp macro="" textlink="">
      <xdr:nvSpPr>
        <xdr:cNvPr id="309" name="HEADER_SHORTCUT_TOP">
          <a:hlinkClick xmlns:r="http://schemas.openxmlformats.org/officeDocument/2006/relationships" r:id="rId7" tooltip="Jump to top of Application"/>
          <a:extLst>
            <a:ext uri="{FF2B5EF4-FFF2-40B4-BE49-F238E27FC236}">
              <a16:creationId xmlns:a16="http://schemas.microsoft.com/office/drawing/2014/main" id="{00000000-0008-0000-0000-000035010000}"/>
            </a:ext>
          </a:extLst>
        </xdr:cNvPr>
        <xdr:cNvSpPr/>
      </xdr:nvSpPr>
      <xdr:spPr>
        <a:xfrm>
          <a:off x="9527" y="1173"/>
          <a:ext cx="7477123" cy="781698"/>
        </a:xfrm>
        <a:prstGeom prst="rect">
          <a:avLst/>
        </a:prstGeom>
        <a:solidFill>
          <a:schemeClr val="bg1">
            <a:alpha val="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700">
            <a:latin typeface="Arial" pitchFamily="34" charset="0"/>
            <a:cs typeface="Arial" pitchFamily="34" charset="0"/>
          </a:endParaRPr>
        </a:p>
      </xdr:txBody>
    </xdr:sp>
    <xdr:clientData fPrintsWithSheet="0"/>
  </xdr:twoCellAnchor>
  <xdr:twoCellAnchor editAs="oneCell">
    <xdr:from>
      <xdr:col>21</xdr:col>
      <xdr:colOff>152400</xdr:colOff>
      <xdr:row>78</xdr:row>
      <xdr:rowOff>257175</xdr:rowOff>
    </xdr:from>
    <xdr:to>
      <xdr:col>24</xdr:col>
      <xdr:colOff>99695</xdr:colOff>
      <xdr:row>80</xdr:row>
      <xdr:rowOff>21590</xdr:rowOff>
    </xdr:to>
    <xdr:sp macro="" textlink="">
      <xdr:nvSpPr>
        <xdr:cNvPr id="205" name="LINK_RENTAL_TOC">
          <a:hlinkClick xmlns:r="http://schemas.openxmlformats.org/officeDocument/2006/relationships" r:id="rId7"/>
          <a:extLst>
            <a:ext uri="{FF2B5EF4-FFF2-40B4-BE49-F238E27FC236}">
              <a16:creationId xmlns:a16="http://schemas.microsoft.com/office/drawing/2014/main" id="{00000000-0008-0000-0000-0000CD000000}"/>
            </a:ext>
          </a:extLst>
        </xdr:cNvPr>
        <xdr:cNvSpPr/>
      </xdr:nvSpPr>
      <xdr:spPr>
        <a:xfrm>
          <a:off x="14525625" y="16744950"/>
          <a:ext cx="1028700" cy="3048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r"/>
          <a:r>
            <a:rPr lang="en-US" sz="900" b="1" u="none">
              <a:solidFill>
                <a:schemeClr val="bg1"/>
              </a:solidFill>
              <a:latin typeface="Arial" pitchFamily="34" charset="0"/>
              <a:cs typeface="Arial" pitchFamily="34" charset="0"/>
            </a:rPr>
            <a:t>Back</a:t>
          </a:r>
          <a:r>
            <a:rPr lang="en-US" sz="900" b="1" u="none" baseline="0">
              <a:solidFill>
                <a:schemeClr val="bg1"/>
              </a:solidFill>
              <a:latin typeface="Arial" pitchFamily="34" charset="0"/>
              <a:cs typeface="Arial" pitchFamily="34" charset="0"/>
            </a:rPr>
            <a:t> to Top ^</a:t>
          </a:r>
          <a:endParaRPr lang="en-US" sz="900" b="1" u="none">
            <a:solidFill>
              <a:schemeClr val="bg1"/>
            </a:solidFill>
            <a:latin typeface="Arial" pitchFamily="34" charset="0"/>
            <a:cs typeface="Arial" pitchFamily="34" charset="0"/>
          </a:endParaRPr>
        </a:p>
      </xdr:txBody>
    </xdr:sp>
    <xdr:clientData fPrintsWithSheet="0"/>
  </xdr:twoCellAnchor>
  <xdr:twoCellAnchor editAs="oneCell">
    <xdr:from>
      <xdr:col>21</xdr:col>
      <xdr:colOff>142875</xdr:colOff>
      <xdr:row>255</xdr:row>
      <xdr:rowOff>0</xdr:rowOff>
    </xdr:from>
    <xdr:to>
      <xdr:col>24</xdr:col>
      <xdr:colOff>88900</xdr:colOff>
      <xdr:row>256</xdr:row>
      <xdr:rowOff>23495</xdr:rowOff>
    </xdr:to>
    <xdr:sp macro="" textlink="">
      <xdr:nvSpPr>
        <xdr:cNvPr id="255" name="LINK_RENTAL_TOC">
          <a:hlinkClick xmlns:r="http://schemas.openxmlformats.org/officeDocument/2006/relationships" r:id="rId7"/>
          <a:extLst>
            <a:ext uri="{FF2B5EF4-FFF2-40B4-BE49-F238E27FC236}">
              <a16:creationId xmlns:a16="http://schemas.microsoft.com/office/drawing/2014/main" id="{00000000-0008-0000-0000-0000FF000000}"/>
            </a:ext>
          </a:extLst>
        </xdr:cNvPr>
        <xdr:cNvSpPr/>
      </xdr:nvSpPr>
      <xdr:spPr>
        <a:xfrm>
          <a:off x="14516100" y="47329725"/>
          <a:ext cx="1028700" cy="30480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r"/>
          <a:r>
            <a:rPr lang="en-US" sz="900" b="1" u="none">
              <a:solidFill>
                <a:schemeClr val="bg1"/>
              </a:solidFill>
              <a:latin typeface="Arial" pitchFamily="34" charset="0"/>
              <a:cs typeface="Arial" pitchFamily="34" charset="0"/>
            </a:rPr>
            <a:t>Back</a:t>
          </a:r>
          <a:r>
            <a:rPr lang="en-US" sz="900" b="1" u="none" baseline="0">
              <a:solidFill>
                <a:schemeClr val="bg1"/>
              </a:solidFill>
              <a:latin typeface="Arial" pitchFamily="34" charset="0"/>
              <a:cs typeface="Arial" pitchFamily="34" charset="0"/>
            </a:rPr>
            <a:t> to Top ^</a:t>
          </a:r>
          <a:endParaRPr lang="en-US" sz="900" b="1" u="none">
            <a:solidFill>
              <a:schemeClr val="bg1"/>
            </a:solidFill>
            <a:latin typeface="Arial" pitchFamily="34" charset="0"/>
            <a:cs typeface="Arial" pitchFamily="34" charset="0"/>
          </a:endParaRPr>
        </a:p>
      </xdr:txBody>
    </xdr:sp>
    <xdr:clientData fPrintsWithSheet="0"/>
  </xdr:twoCellAnchor>
  <xdr:oneCellAnchor>
    <xdr:from>
      <xdr:col>16</xdr:col>
      <xdr:colOff>314325</xdr:colOff>
      <xdr:row>19</xdr:row>
      <xdr:rowOff>9525</xdr:rowOff>
    </xdr:from>
    <xdr:ext cx="2181225" cy="264560"/>
    <xdr:sp macro="" textlink="$G$109">
      <xdr:nvSpPr>
        <xdr:cNvPr id="437" name="TOC_SECTION_LINK">
          <a:hlinkClick xmlns:r="http://schemas.openxmlformats.org/officeDocument/2006/relationships" r:id="rId9"/>
          <a:extLst>
            <a:ext uri="{FF2B5EF4-FFF2-40B4-BE49-F238E27FC236}">
              <a16:creationId xmlns:a16="http://schemas.microsoft.com/office/drawing/2014/main" id="{00000000-0008-0000-0000-0000B5010000}"/>
            </a:ext>
          </a:extLst>
        </xdr:cNvPr>
        <xdr:cNvSpPr txBox="1"/>
      </xdr:nvSpPr>
      <xdr:spPr>
        <a:xfrm>
          <a:off x="12182475" y="2409825"/>
          <a:ext cx="2181225"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lIns="0" tIns="64008" rtlCol="0" anchor="t">
          <a:noAutofit/>
        </a:bodyPr>
        <a:lstStyle/>
        <a:p>
          <a:pPr algn="l"/>
          <a:fld id="{C0179826-61DC-46AD-9B8B-69DA71677452}" type="TxLink">
            <a:rPr lang="en-US" sz="900" b="1" i="0" u="sng" strike="noStrike">
              <a:solidFill>
                <a:srgbClr val="366092"/>
              </a:solidFill>
              <a:latin typeface="Arial"/>
              <a:cs typeface="Arial"/>
            </a:rPr>
            <a:pPr algn="l"/>
            <a:t>Project Summary</a:t>
          </a:fld>
          <a:endParaRPr lang="en-US" sz="900" b="1" i="0" u="sng">
            <a:solidFill>
              <a:schemeClr val="accent1">
                <a:lumMod val="75000"/>
              </a:schemeClr>
            </a:solidFill>
            <a:latin typeface="Arial" pitchFamily="34" charset="0"/>
            <a:cs typeface="Arial" pitchFamily="34" charset="0"/>
          </a:endParaRPr>
        </a:p>
      </xdr:txBody>
    </xdr:sp>
    <xdr:clientData fPrintsWithSheet="0"/>
  </xdr:oneCellAnchor>
  <xdr:twoCellAnchor>
    <xdr:from>
      <xdr:col>10</xdr:col>
      <xdr:colOff>342900</xdr:colOff>
      <xdr:row>56</xdr:row>
      <xdr:rowOff>152400</xdr:rowOff>
    </xdr:from>
    <xdr:to>
      <xdr:col>17</xdr:col>
      <xdr:colOff>123825</xdr:colOff>
      <xdr:row>56</xdr:row>
      <xdr:rowOff>152400</xdr:rowOff>
    </xdr:to>
    <xdr:cxnSp macro="">
      <xdr:nvCxnSpPr>
        <xdr:cNvPr id="344" name="DOTTED_LINE">
          <a:extLst>
            <a:ext uri="{FF2B5EF4-FFF2-40B4-BE49-F238E27FC236}">
              <a16:creationId xmlns:a16="http://schemas.microsoft.com/office/drawing/2014/main" id="{00000000-0008-0000-0000-000058010000}"/>
            </a:ext>
          </a:extLst>
        </xdr:cNvPr>
        <xdr:cNvCxnSpPr/>
      </xdr:nvCxnSpPr>
      <xdr:spPr>
        <a:xfrm>
          <a:off x="9525000" y="12773025"/>
          <a:ext cx="318135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161925</xdr:colOff>
      <xdr:row>82</xdr:row>
      <xdr:rowOff>152400</xdr:rowOff>
    </xdr:from>
    <xdr:to>
      <xdr:col>19</xdr:col>
      <xdr:colOff>114300</xdr:colOff>
      <xdr:row>82</xdr:row>
      <xdr:rowOff>152400</xdr:rowOff>
    </xdr:to>
    <xdr:cxnSp macro="">
      <xdr:nvCxnSpPr>
        <xdr:cNvPr id="407" name="DOTTED_LINE">
          <a:extLst>
            <a:ext uri="{FF2B5EF4-FFF2-40B4-BE49-F238E27FC236}">
              <a16:creationId xmlns:a16="http://schemas.microsoft.com/office/drawing/2014/main" id="{00000000-0008-0000-0000-000097010000}"/>
            </a:ext>
          </a:extLst>
        </xdr:cNvPr>
        <xdr:cNvCxnSpPr/>
      </xdr:nvCxnSpPr>
      <xdr:spPr>
        <a:xfrm>
          <a:off x="11134725" y="17745075"/>
          <a:ext cx="245745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676275</xdr:colOff>
      <xdr:row>83</xdr:row>
      <xdr:rowOff>142875</xdr:rowOff>
    </xdr:from>
    <xdr:to>
      <xdr:col>19</xdr:col>
      <xdr:colOff>114300</xdr:colOff>
      <xdr:row>83</xdr:row>
      <xdr:rowOff>142875</xdr:rowOff>
    </xdr:to>
    <xdr:cxnSp macro="">
      <xdr:nvCxnSpPr>
        <xdr:cNvPr id="424" name="DOTTED_LINE">
          <a:extLst>
            <a:ext uri="{FF2B5EF4-FFF2-40B4-BE49-F238E27FC236}">
              <a16:creationId xmlns:a16="http://schemas.microsoft.com/office/drawing/2014/main" id="{00000000-0008-0000-0000-0000A8010000}"/>
            </a:ext>
          </a:extLst>
        </xdr:cNvPr>
        <xdr:cNvCxnSpPr/>
      </xdr:nvCxnSpPr>
      <xdr:spPr>
        <a:xfrm>
          <a:off x="12544425" y="18011775"/>
          <a:ext cx="104775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276225</xdr:colOff>
      <xdr:row>84</xdr:row>
      <xdr:rowOff>142875</xdr:rowOff>
    </xdr:from>
    <xdr:to>
      <xdr:col>19</xdr:col>
      <xdr:colOff>114300</xdr:colOff>
      <xdr:row>84</xdr:row>
      <xdr:rowOff>142875</xdr:rowOff>
    </xdr:to>
    <xdr:cxnSp macro="">
      <xdr:nvCxnSpPr>
        <xdr:cNvPr id="426" name="DOTTED_LINE">
          <a:extLst>
            <a:ext uri="{FF2B5EF4-FFF2-40B4-BE49-F238E27FC236}">
              <a16:creationId xmlns:a16="http://schemas.microsoft.com/office/drawing/2014/main" id="{00000000-0008-0000-0000-0000AA010000}"/>
            </a:ext>
          </a:extLst>
        </xdr:cNvPr>
        <xdr:cNvCxnSpPr/>
      </xdr:nvCxnSpPr>
      <xdr:spPr>
        <a:xfrm>
          <a:off x="13039725" y="18288000"/>
          <a:ext cx="55245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657225</xdr:colOff>
      <xdr:row>86</xdr:row>
      <xdr:rowOff>142875</xdr:rowOff>
    </xdr:from>
    <xdr:to>
      <xdr:col>21</xdr:col>
      <xdr:colOff>85725</xdr:colOff>
      <xdr:row>86</xdr:row>
      <xdr:rowOff>142875</xdr:rowOff>
    </xdr:to>
    <xdr:cxnSp macro="">
      <xdr:nvCxnSpPr>
        <xdr:cNvPr id="431" name="DOTTED_LINE">
          <a:extLst>
            <a:ext uri="{FF2B5EF4-FFF2-40B4-BE49-F238E27FC236}">
              <a16:creationId xmlns:a16="http://schemas.microsoft.com/office/drawing/2014/main" id="{00000000-0008-0000-0000-0000AF010000}"/>
            </a:ext>
          </a:extLst>
        </xdr:cNvPr>
        <xdr:cNvCxnSpPr/>
      </xdr:nvCxnSpPr>
      <xdr:spPr>
        <a:xfrm>
          <a:off x="12525375" y="18840450"/>
          <a:ext cx="1933575"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104775</xdr:colOff>
      <xdr:row>119</xdr:row>
      <xdr:rowOff>152400</xdr:rowOff>
    </xdr:from>
    <xdr:to>
      <xdr:col>17</xdr:col>
      <xdr:colOff>123825</xdr:colOff>
      <xdr:row>119</xdr:row>
      <xdr:rowOff>152400</xdr:rowOff>
    </xdr:to>
    <xdr:cxnSp macro="">
      <xdr:nvCxnSpPr>
        <xdr:cNvPr id="111" name="DOTTED_LINE">
          <a:extLst>
            <a:ext uri="{FF2B5EF4-FFF2-40B4-BE49-F238E27FC236}">
              <a16:creationId xmlns:a16="http://schemas.microsoft.com/office/drawing/2014/main" id="{00000000-0008-0000-0000-00006F000000}"/>
            </a:ext>
          </a:extLst>
        </xdr:cNvPr>
        <xdr:cNvCxnSpPr/>
      </xdr:nvCxnSpPr>
      <xdr:spPr>
        <a:xfrm>
          <a:off x="9105900" y="25755600"/>
          <a:ext cx="360045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390525</xdr:colOff>
      <xdr:row>129</xdr:row>
      <xdr:rowOff>152400</xdr:rowOff>
    </xdr:from>
    <xdr:to>
      <xdr:col>21</xdr:col>
      <xdr:colOff>114300</xdr:colOff>
      <xdr:row>129</xdr:row>
      <xdr:rowOff>152400</xdr:rowOff>
    </xdr:to>
    <xdr:cxnSp macro="">
      <xdr:nvCxnSpPr>
        <xdr:cNvPr id="113" name="DOTTED_LINE">
          <a:extLst>
            <a:ext uri="{FF2B5EF4-FFF2-40B4-BE49-F238E27FC236}">
              <a16:creationId xmlns:a16="http://schemas.microsoft.com/office/drawing/2014/main" id="{00000000-0008-0000-0000-000071000000}"/>
            </a:ext>
          </a:extLst>
        </xdr:cNvPr>
        <xdr:cNvCxnSpPr/>
      </xdr:nvCxnSpPr>
      <xdr:spPr>
        <a:xfrm>
          <a:off x="10467975" y="27965400"/>
          <a:ext cx="401955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47625</xdr:colOff>
      <xdr:row>130</xdr:row>
      <xdr:rowOff>152400</xdr:rowOff>
    </xdr:from>
    <xdr:to>
      <xdr:col>21</xdr:col>
      <xdr:colOff>133350</xdr:colOff>
      <xdr:row>130</xdr:row>
      <xdr:rowOff>152400</xdr:rowOff>
    </xdr:to>
    <xdr:cxnSp macro="">
      <xdr:nvCxnSpPr>
        <xdr:cNvPr id="115" name="DOTTED_LINE">
          <a:extLst>
            <a:ext uri="{FF2B5EF4-FFF2-40B4-BE49-F238E27FC236}">
              <a16:creationId xmlns:a16="http://schemas.microsoft.com/office/drawing/2014/main" id="{00000000-0008-0000-0000-000073000000}"/>
            </a:ext>
          </a:extLst>
        </xdr:cNvPr>
        <xdr:cNvCxnSpPr/>
      </xdr:nvCxnSpPr>
      <xdr:spPr>
        <a:xfrm>
          <a:off x="11734800" y="28241625"/>
          <a:ext cx="2771775"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504825</xdr:colOff>
      <xdr:row>132</xdr:row>
      <xdr:rowOff>152400</xdr:rowOff>
    </xdr:from>
    <xdr:to>
      <xdr:col>21</xdr:col>
      <xdr:colOff>114300</xdr:colOff>
      <xdr:row>132</xdr:row>
      <xdr:rowOff>152400</xdr:rowOff>
    </xdr:to>
    <xdr:cxnSp macro="">
      <xdr:nvCxnSpPr>
        <xdr:cNvPr id="117" name="DOTTED_LINE">
          <a:extLst>
            <a:ext uri="{FF2B5EF4-FFF2-40B4-BE49-F238E27FC236}">
              <a16:creationId xmlns:a16="http://schemas.microsoft.com/office/drawing/2014/main" id="{00000000-0008-0000-0000-000075000000}"/>
            </a:ext>
          </a:extLst>
        </xdr:cNvPr>
        <xdr:cNvCxnSpPr/>
      </xdr:nvCxnSpPr>
      <xdr:spPr>
        <a:xfrm>
          <a:off x="14163675" y="28794075"/>
          <a:ext cx="32385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504825</xdr:colOff>
      <xdr:row>134</xdr:row>
      <xdr:rowOff>152400</xdr:rowOff>
    </xdr:from>
    <xdr:to>
      <xdr:col>21</xdr:col>
      <xdr:colOff>114300</xdr:colOff>
      <xdr:row>134</xdr:row>
      <xdr:rowOff>152400</xdr:rowOff>
    </xdr:to>
    <xdr:cxnSp macro="">
      <xdr:nvCxnSpPr>
        <xdr:cNvPr id="124" name="DOTTED_LINE">
          <a:extLst>
            <a:ext uri="{FF2B5EF4-FFF2-40B4-BE49-F238E27FC236}">
              <a16:creationId xmlns:a16="http://schemas.microsoft.com/office/drawing/2014/main" id="{00000000-0008-0000-0000-00007C000000}"/>
            </a:ext>
          </a:extLst>
        </xdr:cNvPr>
        <xdr:cNvCxnSpPr/>
      </xdr:nvCxnSpPr>
      <xdr:spPr>
        <a:xfrm>
          <a:off x="14163675" y="28794075"/>
          <a:ext cx="32385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504825</xdr:colOff>
      <xdr:row>136</xdr:row>
      <xdr:rowOff>152400</xdr:rowOff>
    </xdr:from>
    <xdr:to>
      <xdr:col>21</xdr:col>
      <xdr:colOff>114300</xdr:colOff>
      <xdr:row>136</xdr:row>
      <xdr:rowOff>152400</xdr:rowOff>
    </xdr:to>
    <xdr:cxnSp macro="">
      <xdr:nvCxnSpPr>
        <xdr:cNvPr id="125" name="DOTTED_LINE">
          <a:extLst>
            <a:ext uri="{FF2B5EF4-FFF2-40B4-BE49-F238E27FC236}">
              <a16:creationId xmlns:a16="http://schemas.microsoft.com/office/drawing/2014/main" id="{00000000-0008-0000-0000-00007D000000}"/>
            </a:ext>
          </a:extLst>
        </xdr:cNvPr>
        <xdr:cNvCxnSpPr/>
      </xdr:nvCxnSpPr>
      <xdr:spPr>
        <a:xfrm>
          <a:off x="14163675" y="29346525"/>
          <a:ext cx="32385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504825</xdr:colOff>
      <xdr:row>138</xdr:row>
      <xdr:rowOff>152400</xdr:rowOff>
    </xdr:from>
    <xdr:to>
      <xdr:col>21</xdr:col>
      <xdr:colOff>114300</xdr:colOff>
      <xdr:row>138</xdr:row>
      <xdr:rowOff>152400</xdr:rowOff>
    </xdr:to>
    <xdr:cxnSp macro="">
      <xdr:nvCxnSpPr>
        <xdr:cNvPr id="126" name="DOTTED_LINE">
          <a:extLst>
            <a:ext uri="{FF2B5EF4-FFF2-40B4-BE49-F238E27FC236}">
              <a16:creationId xmlns:a16="http://schemas.microsoft.com/office/drawing/2014/main" id="{00000000-0008-0000-0000-00007E000000}"/>
            </a:ext>
          </a:extLst>
        </xdr:cNvPr>
        <xdr:cNvCxnSpPr/>
      </xdr:nvCxnSpPr>
      <xdr:spPr>
        <a:xfrm>
          <a:off x="14163675" y="29898975"/>
          <a:ext cx="32385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104775</xdr:colOff>
      <xdr:row>142</xdr:row>
      <xdr:rowOff>152400</xdr:rowOff>
    </xdr:from>
    <xdr:to>
      <xdr:col>21</xdr:col>
      <xdr:colOff>133351</xdr:colOff>
      <xdr:row>142</xdr:row>
      <xdr:rowOff>152400</xdr:rowOff>
    </xdr:to>
    <xdr:cxnSp macro="">
      <xdr:nvCxnSpPr>
        <xdr:cNvPr id="127" name="DOTTED_LINE">
          <a:extLst>
            <a:ext uri="{FF2B5EF4-FFF2-40B4-BE49-F238E27FC236}">
              <a16:creationId xmlns:a16="http://schemas.microsoft.com/office/drawing/2014/main" id="{00000000-0008-0000-0000-00007F000000}"/>
            </a:ext>
          </a:extLst>
        </xdr:cNvPr>
        <xdr:cNvCxnSpPr/>
      </xdr:nvCxnSpPr>
      <xdr:spPr>
        <a:xfrm>
          <a:off x="3848100" y="38309550"/>
          <a:ext cx="2533651"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38100</xdr:colOff>
      <xdr:row>143</xdr:row>
      <xdr:rowOff>152400</xdr:rowOff>
    </xdr:from>
    <xdr:to>
      <xdr:col>21</xdr:col>
      <xdr:colOff>133350</xdr:colOff>
      <xdr:row>143</xdr:row>
      <xdr:rowOff>152400</xdr:rowOff>
    </xdr:to>
    <xdr:cxnSp macro="">
      <xdr:nvCxnSpPr>
        <xdr:cNvPr id="128" name="DOTTED_LINE">
          <a:extLst>
            <a:ext uri="{FF2B5EF4-FFF2-40B4-BE49-F238E27FC236}">
              <a16:creationId xmlns:a16="http://schemas.microsoft.com/office/drawing/2014/main" id="{00000000-0008-0000-0000-000080000000}"/>
            </a:ext>
          </a:extLst>
        </xdr:cNvPr>
        <xdr:cNvCxnSpPr/>
      </xdr:nvCxnSpPr>
      <xdr:spPr>
        <a:xfrm>
          <a:off x="5391150" y="38585775"/>
          <a:ext cx="99060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66675</xdr:colOff>
      <xdr:row>147</xdr:row>
      <xdr:rowOff>152400</xdr:rowOff>
    </xdr:from>
    <xdr:to>
      <xdr:col>21</xdr:col>
      <xdr:colOff>133350</xdr:colOff>
      <xdr:row>147</xdr:row>
      <xdr:rowOff>152400</xdr:rowOff>
    </xdr:to>
    <xdr:cxnSp macro="">
      <xdr:nvCxnSpPr>
        <xdr:cNvPr id="130" name="DOTTED_LINE">
          <a:extLst>
            <a:ext uri="{FF2B5EF4-FFF2-40B4-BE49-F238E27FC236}">
              <a16:creationId xmlns:a16="http://schemas.microsoft.com/office/drawing/2014/main" id="{00000000-0008-0000-0000-000082000000}"/>
            </a:ext>
          </a:extLst>
        </xdr:cNvPr>
        <xdr:cNvCxnSpPr/>
      </xdr:nvCxnSpPr>
      <xdr:spPr>
        <a:xfrm>
          <a:off x="5419725" y="39690675"/>
          <a:ext cx="962025"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390525</xdr:colOff>
      <xdr:row>148</xdr:row>
      <xdr:rowOff>152400</xdr:rowOff>
    </xdr:from>
    <xdr:to>
      <xdr:col>21</xdr:col>
      <xdr:colOff>133350</xdr:colOff>
      <xdr:row>148</xdr:row>
      <xdr:rowOff>152400</xdr:rowOff>
    </xdr:to>
    <xdr:cxnSp macro="">
      <xdr:nvCxnSpPr>
        <xdr:cNvPr id="131" name="DOTTED_LINE">
          <a:extLst>
            <a:ext uri="{FF2B5EF4-FFF2-40B4-BE49-F238E27FC236}">
              <a16:creationId xmlns:a16="http://schemas.microsoft.com/office/drawing/2014/main" id="{00000000-0008-0000-0000-000083000000}"/>
            </a:ext>
          </a:extLst>
        </xdr:cNvPr>
        <xdr:cNvCxnSpPr/>
      </xdr:nvCxnSpPr>
      <xdr:spPr>
        <a:xfrm>
          <a:off x="5924550" y="39966900"/>
          <a:ext cx="45720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171450</xdr:colOff>
      <xdr:row>152</xdr:row>
      <xdr:rowOff>152400</xdr:rowOff>
    </xdr:from>
    <xdr:to>
      <xdr:col>21</xdr:col>
      <xdr:colOff>133350</xdr:colOff>
      <xdr:row>152</xdr:row>
      <xdr:rowOff>152400</xdr:rowOff>
    </xdr:to>
    <xdr:cxnSp macro="">
      <xdr:nvCxnSpPr>
        <xdr:cNvPr id="132" name="DOTTED_LINE">
          <a:extLst>
            <a:ext uri="{FF2B5EF4-FFF2-40B4-BE49-F238E27FC236}">
              <a16:creationId xmlns:a16="http://schemas.microsoft.com/office/drawing/2014/main" id="{00000000-0008-0000-0000-000084000000}"/>
            </a:ext>
          </a:extLst>
        </xdr:cNvPr>
        <xdr:cNvCxnSpPr/>
      </xdr:nvCxnSpPr>
      <xdr:spPr>
        <a:xfrm>
          <a:off x="5705475" y="41071800"/>
          <a:ext cx="676275"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304800</xdr:colOff>
      <xdr:row>153</xdr:row>
      <xdr:rowOff>152400</xdr:rowOff>
    </xdr:from>
    <xdr:to>
      <xdr:col>21</xdr:col>
      <xdr:colOff>133350</xdr:colOff>
      <xdr:row>153</xdr:row>
      <xdr:rowOff>152400</xdr:rowOff>
    </xdr:to>
    <xdr:cxnSp macro="">
      <xdr:nvCxnSpPr>
        <xdr:cNvPr id="133" name="DOTTED_LINE">
          <a:extLst>
            <a:ext uri="{FF2B5EF4-FFF2-40B4-BE49-F238E27FC236}">
              <a16:creationId xmlns:a16="http://schemas.microsoft.com/office/drawing/2014/main" id="{00000000-0008-0000-0000-000085000000}"/>
            </a:ext>
          </a:extLst>
        </xdr:cNvPr>
        <xdr:cNvCxnSpPr/>
      </xdr:nvCxnSpPr>
      <xdr:spPr>
        <a:xfrm>
          <a:off x="13963650" y="34594800"/>
          <a:ext cx="542925"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161925</xdr:colOff>
      <xdr:row>157</xdr:row>
      <xdr:rowOff>152400</xdr:rowOff>
    </xdr:from>
    <xdr:to>
      <xdr:col>21</xdr:col>
      <xdr:colOff>133350</xdr:colOff>
      <xdr:row>157</xdr:row>
      <xdr:rowOff>152400</xdr:rowOff>
    </xdr:to>
    <xdr:cxnSp macro="">
      <xdr:nvCxnSpPr>
        <xdr:cNvPr id="136" name="DOTTED_LINE">
          <a:extLst>
            <a:ext uri="{FF2B5EF4-FFF2-40B4-BE49-F238E27FC236}">
              <a16:creationId xmlns:a16="http://schemas.microsoft.com/office/drawing/2014/main" id="{00000000-0008-0000-0000-000088000000}"/>
            </a:ext>
          </a:extLst>
        </xdr:cNvPr>
        <xdr:cNvCxnSpPr/>
      </xdr:nvCxnSpPr>
      <xdr:spPr>
        <a:xfrm>
          <a:off x="5695950" y="42452925"/>
          <a:ext cx="68580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400050</xdr:colOff>
      <xdr:row>158</xdr:row>
      <xdr:rowOff>152400</xdr:rowOff>
    </xdr:from>
    <xdr:to>
      <xdr:col>21</xdr:col>
      <xdr:colOff>133350</xdr:colOff>
      <xdr:row>158</xdr:row>
      <xdr:rowOff>152400</xdr:rowOff>
    </xdr:to>
    <xdr:cxnSp macro="">
      <xdr:nvCxnSpPr>
        <xdr:cNvPr id="137" name="DOTTED_LINE">
          <a:extLst>
            <a:ext uri="{FF2B5EF4-FFF2-40B4-BE49-F238E27FC236}">
              <a16:creationId xmlns:a16="http://schemas.microsoft.com/office/drawing/2014/main" id="{00000000-0008-0000-0000-000089000000}"/>
            </a:ext>
          </a:extLst>
        </xdr:cNvPr>
        <xdr:cNvCxnSpPr/>
      </xdr:nvCxnSpPr>
      <xdr:spPr>
        <a:xfrm>
          <a:off x="5934075" y="42729150"/>
          <a:ext cx="447675"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95250</xdr:colOff>
      <xdr:row>162</xdr:row>
      <xdr:rowOff>152400</xdr:rowOff>
    </xdr:from>
    <xdr:to>
      <xdr:col>21</xdr:col>
      <xdr:colOff>133350</xdr:colOff>
      <xdr:row>162</xdr:row>
      <xdr:rowOff>152400</xdr:rowOff>
    </xdr:to>
    <xdr:cxnSp macro="">
      <xdr:nvCxnSpPr>
        <xdr:cNvPr id="140" name="DOTTED_LINE">
          <a:extLst>
            <a:ext uri="{FF2B5EF4-FFF2-40B4-BE49-F238E27FC236}">
              <a16:creationId xmlns:a16="http://schemas.microsoft.com/office/drawing/2014/main" id="{00000000-0008-0000-0000-00008C000000}"/>
            </a:ext>
          </a:extLst>
        </xdr:cNvPr>
        <xdr:cNvCxnSpPr/>
      </xdr:nvCxnSpPr>
      <xdr:spPr>
        <a:xfrm>
          <a:off x="4733925" y="43834050"/>
          <a:ext cx="1647825"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657225</xdr:colOff>
      <xdr:row>163</xdr:row>
      <xdr:rowOff>152400</xdr:rowOff>
    </xdr:from>
    <xdr:to>
      <xdr:col>21</xdr:col>
      <xdr:colOff>133350</xdr:colOff>
      <xdr:row>163</xdr:row>
      <xdr:rowOff>152400</xdr:rowOff>
    </xdr:to>
    <xdr:cxnSp macro="">
      <xdr:nvCxnSpPr>
        <xdr:cNvPr id="141" name="DOTTED_LINE">
          <a:extLst>
            <a:ext uri="{FF2B5EF4-FFF2-40B4-BE49-F238E27FC236}">
              <a16:creationId xmlns:a16="http://schemas.microsoft.com/office/drawing/2014/main" id="{00000000-0008-0000-0000-00008D000000}"/>
            </a:ext>
          </a:extLst>
        </xdr:cNvPr>
        <xdr:cNvCxnSpPr/>
      </xdr:nvCxnSpPr>
      <xdr:spPr>
        <a:xfrm>
          <a:off x="5295900" y="44110275"/>
          <a:ext cx="108585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133350</xdr:colOff>
          <xdr:row>166</xdr:row>
          <xdr:rowOff>31750</xdr:rowOff>
        </xdr:from>
        <xdr:to>
          <xdr:col>11</xdr:col>
          <xdr:colOff>76200</xdr:colOff>
          <xdr:row>167</xdr:row>
          <xdr:rowOff>0</xdr:rowOff>
        </xdr:to>
        <xdr:sp macro="" textlink="">
          <xdr:nvSpPr>
            <xdr:cNvPr id="1053" name="TB_ATRISK_FLG"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At-Risk Youth/Adolescents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166</xdr:row>
          <xdr:rowOff>19050</xdr:rowOff>
        </xdr:from>
        <xdr:to>
          <xdr:col>15</xdr:col>
          <xdr:colOff>133350</xdr:colOff>
          <xdr:row>166</xdr:row>
          <xdr:rowOff>266700</xdr:rowOff>
        </xdr:to>
        <xdr:sp macro="" textlink="">
          <xdr:nvSpPr>
            <xdr:cNvPr id="1054" name="TB_LOW_FLG" descr="Low-to-Moderate Income Families"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Low-to-Moderate Income Families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166</xdr:row>
          <xdr:rowOff>31750</xdr:rowOff>
        </xdr:from>
        <xdr:to>
          <xdr:col>19</xdr:col>
          <xdr:colOff>146050</xdr:colOff>
          <xdr:row>167</xdr:row>
          <xdr:rowOff>0</xdr:rowOff>
        </xdr:to>
        <xdr:sp macro="" textlink="">
          <xdr:nvSpPr>
            <xdr:cNvPr id="1056" name="TB_SENIORS_FLG" descr="Low-to-Moderate Income Families"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Seniors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166</xdr:row>
          <xdr:rowOff>19050</xdr:rowOff>
        </xdr:from>
        <xdr:to>
          <xdr:col>23</xdr:col>
          <xdr:colOff>146050</xdr:colOff>
          <xdr:row>166</xdr:row>
          <xdr:rowOff>266700</xdr:rowOff>
        </xdr:to>
        <xdr:sp macro="" textlink="">
          <xdr:nvSpPr>
            <xdr:cNvPr id="1057" name="TB_WOMEN_FLG"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Women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167</xdr:row>
          <xdr:rowOff>19050</xdr:rowOff>
        </xdr:from>
        <xdr:to>
          <xdr:col>11</xdr:col>
          <xdr:colOff>76200</xdr:colOff>
          <xdr:row>167</xdr:row>
          <xdr:rowOff>260350</xdr:rowOff>
        </xdr:to>
        <xdr:sp macro="" textlink="">
          <xdr:nvSpPr>
            <xdr:cNvPr id="1058" name="TB_VETERANS_FLG" descr="Low-to-Moderate Income Families"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Veterans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169</xdr:row>
          <xdr:rowOff>19050</xdr:rowOff>
        </xdr:from>
        <xdr:to>
          <xdr:col>11</xdr:col>
          <xdr:colOff>133350</xdr:colOff>
          <xdr:row>169</xdr:row>
          <xdr:rowOff>266700</xdr:rowOff>
        </xdr:to>
        <xdr:sp macro="" textlink="">
          <xdr:nvSpPr>
            <xdr:cNvPr id="1059" name="TB_OTHER_ATRISK_FLG_UI" descr="Low-to-Moderate Income Families"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 At-Risk Populations</a:t>
              </a:r>
            </a:p>
          </xdr:txBody>
        </xdr:sp>
        <xdr:clientData/>
      </xdr:twoCellAnchor>
    </mc:Choice>
    <mc:Fallback/>
  </mc:AlternateContent>
  <xdr:twoCellAnchor>
    <xdr:from>
      <xdr:col>10</xdr:col>
      <xdr:colOff>400050</xdr:colOff>
      <xdr:row>176</xdr:row>
      <xdr:rowOff>152400</xdr:rowOff>
    </xdr:from>
    <xdr:to>
      <xdr:col>17</xdr:col>
      <xdr:colOff>123825</xdr:colOff>
      <xdr:row>176</xdr:row>
      <xdr:rowOff>152400</xdr:rowOff>
    </xdr:to>
    <xdr:cxnSp macro="">
      <xdr:nvCxnSpPr>
        <xdr:cNvPr id="129" name="DOTTED_LINE">
          <a:extLst>
            <a:ext uri="{FF2B5EF4-FFF2-40B4-BE49-F238E27FC236}">
              <a16:creationId xmlns:a16="http://schemas.microsoft.com/office/drawing/2014/main" id="{00000000-0008-0000-0000-000081000000}"/>
            </a:ext>
          </a:extLst>
        </xdr:cNvPr>
        <xdr:cNvCxnSpPr/>
      </xdr:nvCxnSpPr>
      <xdr:spPr>
        <a:xfrm>
          <a:off x="9582150" y="40947975"/>
          <a:ext cx="312420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485775</xdr:colOff>
      <xdr:row>218</xdr:row>
      <xdr:rowOff>152400</xdr:rowOff>
    </xdr:from>
    <xdr:to>
      <xdr:col>21</xdr:col>
      <xdr:colOff>114300</xdr:colOff>
      <xdr:row>218</xdr:row>
      <xdr:rowOff>152400</xdr:rowOff>
    </xdr:to>
    <xdr:cxnSp macro="">
      <xdr:nvCxnSpPr>
        <xdr:cNvPr id="118" name="DOTTED_LINE">
          <a:extLst>
            <a:ext uri="{FF2B5EF4-FFF2-40B4-BE49-F238E27FC236}">
              <a16:creationId xmlns:a16="http://schemas.microsoft.com/office/drawing/2014/main" id="{00000000-0008-0000-0000-000076000000}"/>
            </a:ext>
          </a:extLst>
        </xdr:cNvPr>
        <xdr:cNvCxnSpPr/>
      </xdr:nvCxnSpPr>
      <xdr:spPr>
        <a:xfrm>
          <a:off x="13249275" y="49510950"/>
          <a:ext cx="123825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19050</xdr:colOff>
          <xdr:row>231</xdr:row>
          <xdr:rowOff>19050</xdr:rowOff>
        </xdr:from>
        <xdr:to>
          <xdr:col>9</xdr:col>
          <xdr:colOff>133350</xdr:colOff>
          <xdr:row>231</xdr:row>
          <xdr:rowOff>260350</xdr:rowOff>
        </xdr:to>
        <xdr:sp macro="" textlink="">
          <xdr:nvSpPr>
            <xdr:cNvPr id="1074" name="OTHER_GRANT_FLAG_INPUT"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Other Grant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232</xdr:row>
          <xdr:rowOff>19050</xdr:rowOff>
        </xdr:from>
        <xdr:to>
          <xdr:col>9</xdr:col>
          <xdr:colOff>133350</xdr:colOff>
          <xdr:row>232</xdr:row>
          <xdr:rowOff>266700</xdr:rowOff>
        </xdr:to>
        <xdr:sp macro="" textlink="">
          <xdr:nvSpPr>
            <xdr:cNvPr id="1075" name="OTHER_GRANT_FLAG_INPUT"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Loan Type</a:t>
              </a:r>
            </a:p>
          </xdr:txBody>
        </xdr:sp>
        <xdr:clientData/>
      </xdr:twoCellAnchor>
    </mc:Choice>
    <mc:Fallback/>
  </mc:AlternateContent>
  <xdr:twoCellAnchor>
    <xdr:from>
      <xdr:col>9</xdr:col>
      <xdr:colOff>157163</xdr:colOff>
      <xdr:row>231</xdr:row>
      <xdr:rowOff>152400</xdr:rowOff>
    </xdr:from>
    <xdr:to>
      <xdr:col>17</xdr:col>
      <xdr:colOff>119063</xdr:colOff>
      <xdr:row>231</xdr:row>
      <xdr:rowOff>152400</xdr:rowOff>
    </xdr:to>
    <xdr:cxnSp macro="">
      <xdr:nvCxnSpPr>
        <xdr:cNvPr id="120" name="DOTTED_LINE">
          <a:extLst>
            <a:ext uri="{FF2B5EF4-FFF2-40B4-BE49-F238E27FC236}">
              <a16:creationId xmlns:a16="http://schemas.microsoft.com/office/drawing/2014/main" id="{00000000-0008-0000-0000-000078000000}"/>
            </a:ext>
          </a:extLst>
        </xdr:cNvPr>
        <xdr:cNvCxnSpPr/>
      </xdr:nvCxnSpPr>
      <xdr:spPr>
        <a:xfrm>
          <a:off x="9158288" y="52273200"/>
          <a:ext cx="354330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9525</xdr:colOff>
      <xdr:row>232</xdr:row>
      <xdr:rowOff>143230</xdr:rowOff>
    </xdr:from>
    <xdr:to>
      <xdr:col>17</xdr:col>
      <xdr:colOff>119063</xdr:colOff>
      <xdr:row>232</xdr:row>
      <xdr:rowOff>161925</xdr:rowOff>
    </xdr:to>
    <xdr:cxnSp macro="">
      <xdr:nvCxnSpPr>
        <xdr:cNvPr id="122" name="DOTTED_LINE">
          <a:extLst>
            <a:ext uri="{FF2B5EF4-FFF2-40B4-BE49-F238E27FC236}">
              <a16:creationId xmlns:a16="http://schemas.microsoft.com/office/drawing/2014/main" id="{00000000-0008-0000-0000-00007A000000}"/>
            </a:ext>
          </a:extLst>
        </xdr:cNvPr>
        <xdr:cNvCxnSpPr/>
      </xdr:nvCxnSpPr>
      <xdr:spPr>
        <a:xfrm>
          <a:off x="9191625" y="52540255"/>
          <a:ext cx="3509963" cy="18695"/>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7</xdr:col>
          <xdr:colOff>152400</xdr:colOff>
          <xdr:row>235</xdr:row>
          <xdr:rowOff>19050</xdr:rowOff>
        </xdr:from>
        <xdr:to>
          <xdr:col>17</xdr:col>
          <xdr:colOff>19050</xdr:colOff>
          <xdr:row>235</xdr:row>
          <xdr:rowOff>266700</xdr:rowOff>
        </xdr:to>
        <xdr:sp macro="" textlink="">
          <xdr:nvSpPr>
            <xdr:cNvPr id="1076" name="OTHER_NON_FIN_INVOL_FLG_INPUT"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Member has other non-financial involvement in this project</a:t>
              </a:r>
            </a:p>
          </xdr:txBody>
        </xdr:sp>
        <xdr:clientData/>
      </xdr:twoCellAnchor>
    </mc:Choice>
    <mc:Fallback/>
  </mc:AlternateContent>
  <xdr:twoCellAnchor>
    <xdr:from>
      <xdr:col>15</xdr:col>
      <xdr:colOff>47625</xdr:colOff>
      <xdr:row>247</xdr:row>
      <xdr:rowOff>152400</xdr:rowOff>
    </xdr:from>
    <xdr:to>
      <xdr:col>21</xdr:col>
      <xdr:colOff>114300</xdr:colOff>
      <xdr:row>247</xdr:row>
      <xdr:rowOff>152400</xdr:rowOff>
    </xdr:to>
    <xdr:cxnSp macro="">
      <xdr:nvCxnSpPr>
        <xdr:cNvPr id="134" name="DOTTED_LINE">
          <a:extLst>
            <a:ext uri="{FF2B5EF4-FFF2-40B4-BE49-F238E27FC236}">
              <a16:creationId xmlns:a16="http://schemas.microsoft.com/office/drawing/2014/main" id="{00000000-0008-0000-0000-000086000000}"/>
            </a:ext>
          </a:extLst>
        </xdr:cNvPr>
        <xdr:cNvCxnSpPr/>
      </xdr:nvCxnSpPr>
      <xdr:spPr>
        <a:xfrm>
          <a:off x="11734800" y="56692800"/>
          <a:ext cx="2752725"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333375</xdr:colOff>
      <xdr:row>259</xdr:row>
      <xdr:rowOff>133350</xdr:rowOff>
    </xdr:from>
    <xdr:to>
      <xdr:col>18</xdr:col>
      <xdr:colOff>400050</xdr:colOff>
      <xdr:row>260</xdr:row>
      <xdr:rowOff>104775</xdr:rowOff>
    </xdr:to>
    <xdr:sp macro="" textlink="">
      <xdr:nvSpPr>
        <xdr:cNvPr id="2" name="Rounded Rectangle 1">
          <a:hlinkClick xmlns:r="http://schemas.openxmlformats.org/officeDocument/2006/relationships" r:id="rId10"/>
          <a:extLst>
            <a:ext uri="{FF2B5EF4-FFF2-40B4-BE49-F238E27FC236}">
              <a16:creationId xmlns:a16="http://schemas.microsoft.com/office/drawing/2014/main" id="{00000000-0008-0000-0000-000002000000}"/>
            </a:ext>
          </a:extLst>
        </xdr:cNvPr>
        <xdr:cNvSpPr/>
      </xdr:nvSpPr>
      <xdr:spPr>
        <a:xfrm>
          <a:off x="10410825" y="59988450"/>
          <a:ext cx="2752725" cy="247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latin typeface="Arial" panose="020B0604020202020204" pitchFamily="34" charset="0"/>
              <a:cs typeface="Arial" panose="020B0604020202020204" pitchFamily="34" charset="0"/>
            </a:rPr>
            <a:t>Open</a:t>
          </a:r>
          <a:r>
            <a:rPr lang="en-US" sz="1000" b="1" baseline="0">
              <a:latin typeface="Arial" panose="020B0604020202020204" pitchFamily="34" charset="0"/>
              <a:cs typeface="Arial" panose="020B0604020202020204" pitchFamily="34" charset="0"/>
            </a:rPr>
            <a:t> Application Budget worksheet &gt;&gt;</a:t>
          </a:r>
        </a:p>
      </xdr:txBody>
    </xdr:sp>
    <xdr:clientData/>
  </xdr:twoCellAnchor>
  <mc:AlternateContent xmlns:mc="http://schemas.openxmlformats.org/markup-compatibility/2006">
    <mc:Choice xmlns:a14="http://schemas.microsoft.com/office/drawing/2010/main" Requires="a14">
      <xdr:twoCellAnchor editAs="oneCell">
        <xdr:from>
          <xdr:col>12</xdr:col>
          <xdr:colOff>247650</xdr:colOff>
          <xdr:row>262</xdr:row>
          <xdr:rowOff>31750</xdr:rowOff>
        </xdr:from>
        <xdr:to>
          <xdr:col>18</xdr:col>
          <xdr:colOff>603250</xdr:colOff>
          <xdr:row>263</xdr:row>
          <xdr:rowOff>0</xdr:rowOff>
        </xdr:to>
        <xdr:sp macro="" textlink="">
          <xdr:nvSpPr>
            <xdr:cNvPr id="1079" name="APPLICATION_BUDGET_CERT_FLG"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The Application Budget worksheet has been fully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167</xdr:row>
          <xdr:rowOff>19050</xdr:rowOff>
        </xdr:from>
        <xdr:to>
          <xdr:col>15</xdr:col>
          <xdr:colOff>133350</xdr:colOff>
          <xdr:row>167</xdr:row>
          <xdr:rowOff>266700</xdr:rowOff>
        </xdr:to>
        <xdr:sp macro="" textlink="">
          <xdr:nvSpPr>
            <xdr:cNvPr id="1081" name="TB_DISASTER_VICTIMS_FLG" descr="Low-to-Moderate Income Families"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Disaster Victims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167</xdr:row>
          <xdr:rowOff>19050</xdr:rowOff>
        </xdr:from>
        <xdr:to>
          <xdr:col>19</xdr:col>
          <xdr:colOff>146050</xdr:colOff>
          <xdr:row>167</xdr:row>
          <xdr:rowOff>260350</xdr:rowOff>
        </xdr:to>
        <xdr:sp macro="" textlink="">
          <xdr:nvSpPr>
            <xdr:cNvPr id="1082" name="TB_FORMERLY_INCAR_FLG" descr="Low-to-Moderate Income Families"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Formerly Incarcerated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167</xdr:row>
          <xdr:rowOff>19050</xdr:rowOff>
        </xdr:from>
        <xdr:to>
          <xdr:col>23</xdr:col>
          <xdr:colOff>146050</xdr:colOff>
          <xdr:row>167</xdr:row>
          <xdr:rowOff>260350</xdr:rowOff>
        </xdr:to>
        <xdr:sp macro="" textlink="">
          <xdr:nvSpPr>
            <xdr:cNvPr id="1083" name="TB_DISABILITIES_FLG" descr="Low-to-Moderate Income Families"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Persons with Disabilities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168</xdr:row>
          <xdr:rowOff>19050</xdr:rowOff>
        </xdr:from>
        <xdr:to>
          <xdr:col>11</xdr:col>
          <xdr:colOff>133350</xdr:colOff>
          <xdr:row>168</xdr:row>
          <xdr:rowOff>266700</xdr:rowOff>
        </xdr:to>
        <xdr:sp macro="" textlink="">
          <xdr:nvSpPr>
            <xdr:cNvPr id="1094" name="TB_NATIVE_AMERICANS_FLG_UI" descr="Low-to-Moderate Income Families"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Native Americans</a:t>
              </a:r>
            </a:p>
          </xdr:txBody>
        </xdr:sp>
        <xdr:clientData/>
      </xdr:twoCellAnchor>
    </mc:Choice>
    <mc:Fallback/>
  </mc:AlternateContent>
  <xdr:twoCellAnchor>
    <xdr:from>
      <xdr:col>21</xdr:col>
      <xdr:colOff>19050</xdr:colOff>
      <xdr:row>197</xdr:row>
      <xdr:rowOff>152400</xdr:rowOff>
    </xdr:from>
    <xdr:to>
      <xdr:col>21</xdr:col>
      <xdr:colOff>152400</xdr:colOff>
      <xdr:row>197</xdr:row>
      <xdr:rowOff>152400</xdr:rowOff>
    </xdr:to>
    <xdr:cxnSp macro="">
      <xdr:nvCxnSpPr>
        <xdr:cNvPr id="142" name="DOTTED_LINE">
          <a:extLst>
            <a:ext uri="{FF2B5EF4-FFF2-40B4-BE49-F238E27FC236}">
              <a16:creationId xmlns:a16="http://schemas.microsoft.com/office/drawing/2014/main" id="{00000000-0008-0000-0000-00008E000000}"/>
            </a:ext>
          </a:extLst>
        </xdr:cNvPr>
        <xdr:cNvCxnSpPr/>
      </xdr:nvCxnSpPr>
      <xdr:spPr>
        <a:xfrm>
          <a:off x="14392275" y="58473975"/>
          <a:ext cx="13335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371475</xdr:colOff>
      <xdr:row>199</xdr:row>
      <xdr:rowOff>133350</xdr:rowOff>
    </xdr:from>
    <xdr:to>
      <xdr:col>21</xdr:col>
      <xdr:colOff>152400</xdr:colOff>
      <xdr:row>199</xdr:row>
      <xdr:rowOff>133350</xdr:rowOff>
    </xdr:to>
    <xdr:cxnSp macro="">
      <xdr:nvCxnSpPr>
        <xdr:cNvPr id="143" name="DOTTED_LINE">
          <a:extLst>
            <a:ext uri="{FF2B5EF4-FFF2-40B4-BE49-F238E27FC236}">
              <a16:creationId xmlns:a16="http://schemas.microsoft.com/office/drawing/2014/main" id="{00000000-0008-0000-0000-00008F000000}"/>
            </a:ext>
          </a:extLst>
        </xdr:cNvPr>
        <xdr:cNvCxnSpPr/>
      </xdr:nvCxnSpPr>
      <xdr:spPr>
        <a:xfrm>
          <a:off x="14030325" y="59007375"/>
          <a:ext cx="49530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504825</xdr:colOff>
      <xdr:row>201</xdr:row>
      <xdr:rowOff>133350</xdr:rowOff>
    </xdr:from>
    <xdr:to>
      <xdr:col>21</xdr:col>
      <xdr:colOff>152400</xdr:colOff>
      <xdr:row>201</xdr:row>
      <xdr:rowOff>133350</xdr:rowOff>
    </xdr:to>
    <xdr:cxnSp macro="">
      <xdr:nvCxnSpPr>
        <xdr:cNvPr id="144" name="DOTTED_LINE">
          <a:extLst>
            <a:ext uri="{FF2B5EF4-FFF2-40B4-BE49-F238E27FC236}">
              <a16:creationId xmlns:a16="http://schemas.microsoft.com/office/drawing/2014/main" id="{00000000-0008-0000-0000-000090000000}"/>
            </a:ext>
          </a:extLst>
        </xdr:cNvPr>
        <xdr:cNvCxnSpPr/>
      </xdr:nvCxnSpPr>
      <xdr:spPr>
        <a:xfrm>
          <a:off x="14163675" y="59559825"/>
          <a:ext cx="36195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152400</xdr:colOff>
          <xdr:row>168</xdr:row>
          <xdr:rowOff>19050</xdr:rowOff>
        </xdr:from>
        <xdr:to>
          <xdr:col>15</xdr:col>
          <xdr:colOff>133350</xdr:colOff>
          <xdr:row>168</xdr:row>
          <xdr:rowOff>266700</xdr:rowOff>
        </xdr:to>
        <xdr:sp macro="" textlink="">
          <xdr:nvSpPr>
            <xdr:cNvPr id="1099" name="TB_BIPOC_FLG_UI" descr="Low-to-Moderate Income Families"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BIPOC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168</xdr:row>
          <xdr:rowOff>19050</xdr:rowOff>
        </xdr:from>
        <xdr:to>
          <xdr:col>19</xdr:col>
          <xdr:colOff>146050</xdr:colOff>
          <xdr:row>168</xdr:row>
          <xdr:rowOff>266700</xdr:rowOff>
        </xdr:to>
        <xdr:sp macro="" textlink="">
          <xdr:nvSpPr>
            <xdr:cNvPr id="1102" name="TB_LGBTQ_FLG_UI" descr="Low-to-Moderate Income Families"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LGBTQ+</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168</xdr:row>
          <xdr:rowOff>19050</xdr:rowOff>
        </xdr:from>
        <xdr:to>
          <xdr:col>23</xdr:col>
          <xdr:colOff>146050</xdr:colOff>
          <xdr:row>168</xdr:row>
          <xdr:rowOff>266700</xdr:rowOff>
        </xdr:to>
        <xdr:sp macro="" textlink="">
          <xdr:nvSpPr>
            <xdr:cNvPr id="1103" name="TB_UNHOUSED_FLG_UI" descr="Low-to-Moderate Income Families"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Unhoused</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777793</xdr:colOff>
      <xdr:row>0</xdr:row>
      <xdr:rowOff>52755</xdr:rowOff>
    </xdr:from>
    <xdr:to>
      <xdr:col>8</xdr:col>
      <xdr:colOff>888283</xdr:colOff>
      <xdr:row>0</xdr:row>
      <xdr:rowOff>286115</xdr:rowOff>
    </xdr:to>
    <xdr:sp macro="" textlink="">
      <xdr:nvSpPr>
        <xdr:cNvPr id="5" name="HEADER_BANNER_TITLE">
          <a:extLst>
            <a:ext uri="{FF2B5EF4-FFF2-40B4-BE49-F238E27FC236}">
              <a16:creationId xmlns:a16="http://schemas.microsoft.com/office/drawing/2014/main" id="{00000000-0008-0000-0100-000005000000}"/>
            </a:ext>
          </a:extLst>
        </xdr:cNvPr>
        <xdr:cNvSpPr txBox="1"/>
      </xdr:nvSpPr>
      <xdr:spPr>
        <a:xfrm>
          <a:off x="2301793" y="52755"/>
          <a:ext cx="4572000" cy="2238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rIns="0" rtlCol="0" anchor="ctr">
          <a:noAutofit/>
        </a:bodyPr>
        <a:lstStyle/>
        <a:p>
          <a:pPr algn="r"/>
          <a:r>
            <a:rPr lang="en-US" sz="1050" b="1" i="0">
              <a:solidFill>
                <a:sysClr val="windowText" lastClr="000000"/>
              </a:solidFill>
              <a:latin typeface="Arial" pitchFamily="34" charset="0"/>
              <a:cs typeface="Arial" pitchFamily="34" charset="0"/>
            </a:rPr>
            <a:t>AHEAD Project Application Budget Worksheet </a:t>
          </a:r>
        </a:p>
      </xdr:txBody>
    </xdr:sp>
    <xdr:clientData/>
  </xdr:twoCellAnchor>
  <xdr:twoCellAnchor editAs="oneCell">
    <xdr:from>
      <xdr:col>1</xdr:col>
      <xdr:colOff>7568</xdr:colOff>
      <xdr:row>0</xdr:row>
      <xdr:rowOff>38100</xdr:rowOff>
    </xdr:from>
    <xdr:to>
      <xdr:col>2</xdr:col>
      <xdr:colOff>444575</xdr:colOff>
      <xdr:row>0</xdr:row>
      <xdr:rowOff>477121</xdr:rowOff>
    </xdr:to>
    <xdr:pic>
      <xdr:nvPicPr>
        <xdr:cNvPr id="6" name="COMPANY_LOGO">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1868" y="38100"/>
          <a:ext cx="1033272" cy="442831"/>
        </a:xfrm>
        <a:prstGeom prst="rect">
          <a:avLst/>
        </a:prstGeom>
      </xdr:spPr>
    </xdr:pic>
    <xdr:clientData/>
  </xdr:twoCellAnchor>
  <xdr:twoCellAnchor editAs="oneCell">
    <xdr:from>
      <xdr:col>6</xdr:col>
      <xdr:colOff>876300</xdr:colOff>
      <xdr:row>0</xdr:row>
      <xdr:rowOff>323850</xdr:rowOff>
    </xdr:from>
    <xdr:to>
      <xdr:col>8</xdr:col>
      <xdr:colOff>876302</xdr:colOff>
      <xdr:row>1</xdr:row>
      <xdr:rowOff>0</xdr:rowOff>
    </xdr:to>
    <xdr:sp macro="" textlink="AHEAD!$B$7">
      <xdr:nvSpPr>
        <xdr:cNvPr id="7" name="HEADER_BANNER_SUBTITLE">
          <a:extLst>
            <a:ext uri="{FF2B5EF4-FFF2-40B4-BE49-F238E27FC236}">
              <a16:creationId xmlns:a16="http://schemas.microsoft.com/office/drawing/2014/main" id="{00000000-0008-0000-0100-000007000000}"/>
            </a:ext>
          </a:extLst>
        </xdr:cNvPr>
        <xdr:cNvSpPr txBox="1"/>
      </xdr:nvSpPr>
      <xdr:spPr>
        <a:xfrm>
          <a:off x="5038725" y="323850"/>
          <a:ext cx="1828802" cy="18288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wrap="square" lIns="0" rIns="0" rtlCol="0" anchor="ctr">
          <a:noAutofit/>
        </a:bodyPr>
        <a:lstStyle/>
        <a:p>
          <a:pPr algn="r"/>
          <a:fld id="{F600CF25-FFB1-40A3-A204-ED58FD783BA5}" type="TxLink">
            <a:rPr lang="en-US" sz="800" b="0" i="0" u="none" strike="noStrike" baseline="0">
              <a:solidFill>
                <a:srgbClr val="000000"/>
              </a:solidFill>
              <a:latin typeface="Arial"/>
              <a:cs typeface="Arial"/>
            </a:rPr>
            <a:pPr algn="r"/>
            <a:t>AHEAD Program (2026)</a:t>
          </a:fld>
          <a:endParaRPr lang="en-US" sz="800" b="0" i="0" u="none" strike="noStrike">
            <a:solidFill>
              <a:sysClr val="windowText" lastClr="000000"/>
            </a:solidFill>
            <a:latin typeface="Arial" pitchFamily="34" charset="0"/>
            <a:cs typeface="Arial" pitchFamily="34" charset="0"/>
          </a:endParaRPr>
        </a:p>
      </xdr:txBody>
    </xdr:sp>
    <xdr:clientData/>
  </xdr:twoCellAnchor>
  <xdr:twoCellAnchor editAs="oneCell">
    <xdr:from>
      <xdr:col>0</xdr:col>
      <xdr:colOff>1</xdr:colOff>
      <xdr:row>0</xdr:row>
      <xdr:rowOff>0</xdr:rowOff>
    </xdr:from>
    <xdr:to>
      <xdr:col>16384</xdr:col>
      <xdr:colOff>19051</xdr:colOff>
      <xdr:row>2</xdr:row>
      <xdr:rowOff>19050</xdr:rowOff>
    </xdr:to>
    <xdr:sp macro="" textlink="">
      <xdr:nvSpPr>
        <xdr:cNvPr id="14" name="HEADER_SHORTCUT_TOP">
          <a:hlinkClick xmlns:r="http://schemas.openxmlformats.org/officeDocument/2006/relationships" r:id="rId2" tooltip="Jump to top of Application"/>
          <a:extLst>
            <a:ext uri="{FF2B5EF4-FFF2-40B4-BE49-F238E27FC236}">
              <a16:creationId xmlns:a16="http://schemas.microsoft.com/office/drawing/2014/main" id="{00000000-0008-0000-0100-00000E000000}"/>
            </a:ext>
          </a:extLst>
        </xdr:cNvPr>
        <xdr:cNvSpPr/>
      </xdr:nvSpPr>
      <xdr:spPr>
        <a:xfrm>
          <a:off x="1" y="0"/>
          <a:ext cx="7143750" cy="847725"/>
        </a:xfrm>
        <a:prstGeom prst="rect">
          <a:avLst/>
        </a:prstGeom>
        <a:solidFill>
          <a:schemeClr val="bg1">
            <a:alpha val="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700">
            <a:latin typeface="Arial" pitchFamily="34" charset="0"/>
            <a:cs typeface="Arial" pitchFamily="34" charset="0"/>
          </a:endParaRPr>
        </a:p>
      </xdr:txBody>
    </xdr:sp>
    <xdr:clientData fPrintsWithSheet="0"/>
  </xdr:twoCellAnchor>
  <xdr:twoCellAnchor>
    <xdr:from>
      <xdr:col>6</xdr:col>
      <xdr:colOff>504825</xdr:colOff>
      <xdr:row>1</xdr:row>
      <xdr:rowOff>38100</xdr:rowOff>
    </xdr:from>
    <xdr:to>
      <xdr:col>8</xdr:col>
      <xdr:colOff>904875</xdr:colOff>
      <xdr:row>1</xdr:row>
      <xdr:rowOff>285750</xdr:rowOff>
    </xdr:to>
    <xdr:sp macro="" textlink="">
      <xdr:nvSpPr>
        <xdr:cNvPr id="8" name="Rounded Rectangle 7">
          <a:hlinkClick xmlns:r="http://schemas.openxmlformats.org/officeDocument/2006/relationships" r:id="rId3"/>
          <a:extLst>
            <a:ext uri="{FF2B5EF4-FFF2-40B4-BE49-F238E27FC236}">
              <a16:creationId xmlns:a16="http://schemas.microsoft.com/office/drawing/2014/main" id="{00000000-0008-0000-0100-000008000000}"/>
            </a:ext>
          </a:extLst>
        </xdr:cNvPr>
        <xdr:cNvSpPr/>
      </xdr:nvSpPr>
      <xdr:spPr>
        <a:xfrm>
          <a:off x="4781550" y="552450"/>
          <a:ext cx="2228850" cy="247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latin typeface="Arial" panose="020B0604020202020204" pitchFamily="34" charset="0"/>
              <a:cs typeface="Arial" panose="020B0604020202020204" pitchFamily="34" charset="0"/>
            </a:rPr>
            <a:t>&lt;&lt; Back</a:t>
          </a:r>
          <a:r>
            <a:rPr lang="en-US" sz="900" b="1" baseline="0">
              <a:latin typeface="Arial" panose="020B0604020202020204" pitchFamily="34" charset="0"/>
              <a:cs typeface="Arial" panose="020B0604020202020204" pitchFamily="34" charset="0"/>
            </a:rPr>
            <a:t> to AHEAD Application Form</a:t>
          </a:r>
          <a:endParaRPr lang="en-US" sz="900" b="1">
            <a:latin typeface="Arial" panose="020B0604020202020204" pitchFamily="34" charset="0"/>
            <a:cs typeface="Arial" panose="020B0604020202020204" pitchFamily="34" charset="0"/>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352425</xdr:colOff>
      <xdr:row>0</xdr:row>
      <xdr:rowOff>0</xdr:rowOff>
    </xdr:from>
    <xdr:to>
      <xdr:col>19</xdr:col>
      <xdr:colOff>132398</xdr:colOff>
      <xdr:row>0</xdr:row>
      <xdr:rowOff>476250</xdr:rowOff>
    </xdr:to>
    <xdr:sp macro="" textlink="">
      <xdr:nvSpPr>
        <xdr:cNvPr id="4" name="HEADER_BANNER_TITLE">
          <a:extLst>
            <a:ext uri="{FF2B5EF4-FFF2-40B4-BE49-F238E27FC236}">
              <a16:creationId xmlns:a16="http://schemas.microsoft.com/office/drawing/2014/main" id="{00000000-0008-0000-0200-000004000000}"/>
            </a:ext>
          </a:extLst>
        </xdr:cNvPr>
        <xdr:cNvSpPr txBox="1"/>
      </xdr:nvSpPr>
      <xdr:spPr>
        <a:xfrm>
          <a:off x="4991100" y="0"/>
          <a:ext cx="2481263"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050" b="0" i="0" u="none" strike="noStrike">
              <a:solidFill>
                <a:schemeClr val="tx1"/>
              </a:solidFill>
              <a:latin typeface="Arial" pitchFamily="34" charset="0"/>
              <a:cs typeface="Arial" pitchFamily="34" charset="0"/>
            </a:rPr>
            <a:t> </a:t>
          </a:r>
        </a:p>
      </xdr:txBody>
    </xdr:sp>
    <xdr:clientData/>
  </xdr:twoCellAnchor>
  <xdr:twoCellAnchor editAs="oneCell">
    <xdr:from>
      <xdr:col>2</xdr:col>
      <xdr:colOff>126368</xdr:colOff>
      <xdr:row>0</xdr:row>
      <xdr:rowOff>37735</xdr:rowOff>
    </xdr:from>
    <xdr:to>
      <xdr:col>5</xdr:col>
      <xdr:colOff>91602</xdr:colOff>
      <xdr:row>0</xdr:row>
      <xdr:rowOff>473504</xdr:rowOff>
    </xdr:to>
    <xdr:pic>
      <xdr:nvPicPr>
        <xdr:cNvPr id="3" name="COMPANY_LOGO">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6368" y="37735"/>
          <a:ext cx="1016794" cy="435769"/>
        </a:xfrm>
        <a:prstGeom prst="rect">
          <a:avLst/>
        </a:prstGeom>
      </xdr:spPr>
    </xdr:pic>
    <xdr:clientData/>
  </xdr:twoCellAnchor>
  <xdr:twoCellAnchor editAs="oneCell">
    <xdr:from>
      <xdr:col>15</xdr:col>
      <xdr:colOff>66675</xdr:colOff>
      <xdr:row>0</xdr:row>
      <xdr:rowOff>9525</xdr:rowOff>
    </xdr:from>
    <xdr:to>
      <xdr:col>19</xdr:col>
      <xdr:colOff>94298</xdr:colOff>
      <xdr:row>0</xdr:row>
      <xdr:rowOff>474345</xdr:rowOff>
    </xdr:to>
    <xdr:sp macro="" textlink="">
      <xdr:nvSpPr>
        <xdr:cNvPr id="5" name="HEADER_BANNER_TITLE">
          <a:extLst>
            <a:ext uri="{FF2B5EF4-FFF2-40B4-BE49-F238E27FC236}">
              <a16:creationId xmlns:a16="http://schemas.microsoft.com/office/drawing/2014/main" id="{00000000-0008-0000-0200-000005000000}"/>
            </a:ext>
          </a:extLst>
        </xdr:cNvPr>
        <xdr:cNvSpPr txBox="1"/>
      </xdr:nvSpPr>
      <xdr:spPr>
        <a:xfrm>
          <a:off x="5600700" y="9525"/>
          <a:ext cx="1833563"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200" b="0" i="0" u="none" strike="noStrike">
              <a:solidFill>
                <a:schemeClr val="tx1"/>
              </a:solidFill>
              <a:latin typeface="Arial" pitchFamily="34" charset="0"/>
              <a:cs typeface="Arial" pitchFamily="34" charset="0"/>
            </a:rPr>
            <a:t>AHEAD </a:t>
          </a:r>
          <a:r>
            <a:rPr lang="en-US" sz="1200" b="0" i="0" u="none" strike="noStrike" baseline="0">
              <a:solidFill>
                <a:schemeClr val="tx1"/>
              </a:solidFill>
              <a:latin typeface="Arial" pitchFamily="34" charset="0"/>
              <a:cs typeface="Arial" pitchFamily="34" charset="0"/>
            </a:rPr>
            <a:t>eForm</a:t>
          </a:r>
          <a:endParaRPr lang="en-US" sz="1200" b="0" i="0" u="none" strike="noStrike">
            <a:solidFill>
              <a:schemeClr val="tx1"/>
            </a:solidFill>
            <a:latin typeface="Arial" pitchFamily="34" charset="0"/>
            <a:cs typeface="Arial" pitchFamily="34" charset="0"/>
          </a:endParaRPr>
        </a:p>
      </xdr:txBody>
    </xdr:sp>
    <xdr:clientData/>
  </xdr:twoCellAnchor>
  <xdr:twoCellAnchor editAs="oneCell">
    <xdr:from>
      <xdr:col>15</xdr:col>
      <xdr:colOff>66675</xdr:colOff>
      <xdr:row>1</xdr:row>
      <xdr:rowOff>47625</xdr:rowOff>
    </xdr:from>
    <xdr:to>
      <xdr:col>19</xdr:col>
      <xdr:colOff>94298</xdr:colOff>
      <xdr:row>1</xdr:row>
      <xdr:rowOff>230505</xdr:rowOff>
    </xdr:to>
    <xdr:sp macro="" textlink="$B$3">
      <xdr:nvSpPr>
        <xdr:cNvPr id="6" name="HEADER_BANNER_SUBTITLE">
          <a:extLst>
            <a:ext uri="{FF2B5EF4-FFF2-40B4-BE49-F238E27FC236}">
              <a16:creationId xmlns:a16="http://schemas.microsoft.com/office/drawing/2014/main" id="{00000000-0008-0000-0200-000006000000}"/>
            </a:ext>
          </a:extLst>
        </xdr:cNvPr>
        <xdr:cNvSpPr txBox="1"/>
      </xdr:nvSpPr>
      <xdr:spPr>
        <a:xfrm>
          <a:off x="5600700" y="561975"/>
          <a:ext cx="1833563" cy="182880"/>
        </a:xfrm>
        <a:prstGeom prst="rect">
          <a:avLst/>
        </a:prstGeom>
        <a:solidFill>
          <a:srgbClr val="A6CE43"/>
        </a:solid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fld id="{840D96E5-ABC2-48B3-A0CB-E605811ED4E5}" type="TxLink">
            <a:rPr lang="en-US" sz="700" b="1" i="0" u="none" strike="noStrike">
              <a:solidFill>
                <a:schemeClr val="bg1"/>
              </a:solidFill>
              <a:latin typeface="Arial" pitchFamily="34" charset="0"/>
              <a:cs typeface="Arial" pitchFamily="34" charset="0"/>
            </a:rPr>
            <a:pPr algn="ctr"/>
            <a:t>eForm Version 5.0.0</a:t>
          </a:fld>
          <a:endParaRPr lang="en-US" sz="900" b="1" i="0" u="none" strike="noStrike">
            <a:solidFill>
              <a:schemeClr val="bg1"/>
            </a:solidFill>
            <a:latin typeface="Arial" pitchFamily="34" charset="0"/>
            <a:cs typeface="Arial" pitchFamily="34" charset="0"/>
          </a:endParaRPr>
        </a:p>
      </xdr:txBody>
    </xdr:sp>
    <xdr:clientData/>
  </xdr:twoCellAnchor>
  <xdr:twoCellAnchor editAs="oneCell">
    <xdr:from>
      <xdr:col>2</xdr:col>
      <xdr:colOff>66675</xdr:colOff>
      <xdr:row>2</xdr:row>
      <xdr:rowOff>238125</xdr:rowOff>
    </xdr:from>
    <xdr:to>
      <xdr:col>19</xdr:col>
      <xdr:colOff>93409</xdr:colOff>
      <xdr:row>10</xdr:row>
      <xdr:rowOff>55245</xdr:rowOff>
    </xdr:to>
    <xdr:grpSp>
      <xdr:nvGrpSpPr>
        <xdr:cNvPr id="8" name="CONFIG_FRAME">
          <a:extLst>
            <a:ext uri="{FF2B5EF4-FFF2-40B4-BE49-F238E27FC236}">
              <a16:creationId xmlns:a16="http://schemas.microsoft.com/office/drawing/2014/main" id="{00000000-0008-0000-0200-000008000000}"/>
            </a:ext>
          </a:extLst>
        </xdr:cNvPr>
        <xdr:cNvGrpSpPr/>
      </xdr:nvGrpSpPr>
      <xdr:grpSpPr>
        <a:xfrm>
          <a:off x="66675" y="1017443"/>
          <a:ext cx="7727552" cy="2033847"/>
          <a:chOff x="8180191" y="1298424"/>
          <a:chExt cx="7362825" cy="2035932"/>
        </a:xfrm>
      </xdr:grpSpPr>
      <xdr:sp macro="" textlink="">
        <xdr:nvSpPr>
          <xdr:cNvPr id="17" name="CONFIG_FRAME_SUBTITLE">
            <a:extLst>
              <a:ext uri="{FF2B5EF4-FFF2-40B4-BE49-F238E27FC236}">
                <a16:creationId xmlns:a16="http://schemas.microsoft.com/office/drawing/2014/main" id="{00000000-0008-0000-0200-000011000000}"/>
              </a:ext>
            </a:extLst>
          </xdr:cNvPr>
          <xdr:cNvSpPr/>
        </xdr:nvSpPr>
        <xdr:spPr>
          <a:xfrm>
            <a:off x="8180191" y="1623397"/>
            <a:ext cx="7360921" cy="275969"/>
          </a:xfrm>
          <a:prstGeom prst="rect">
            <a:avLst/>
          </a:prstGeom>
          <a:solidFill>
            <a:schemeClr val="accent1">
              <a:lumMod val="20000"/>
              <a:lumOff val="8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sz="900" b="1">
                <a:solidFill>
                  <a:schemeClr val="dk1"/>
                </a:solidFill>
                <a:latin typeface="Arial" pitchFamily="34" charset="0"/>
                <a:ea typeface="+mn-ea"/>
                <a:cs typeface="Arial" pitchFamily="34" charset="0"/>
              </a:rPr>
              <a:t>Round Specific Settings &amp; Thresholds</a:t>
            </a:r>
            <a:endParaRPr lang="en-US" sz="900">
              <a:latin typeface="Arial" pitchFamily="34" charset="0"/>
              <a:cs typeface="Arial" pitchFamily="34" charset="0"/>
            </a:endParaRPr>
          </a:p>
        </xdr:txBody>
      </xdr:sp>
      <xdr:grpSp>
        <xdr:nvGrpSpPr>
          <xdr:cNvPr id="18" name="TOC">
            <a:extLst>
              <a:ext uri="{FF2B5EF4-FFF2-40B4-BE49-F238E27FC236}">
                <a16:creationId xmlns:a16="http://schemas.microsoft.com/office/drawing/2014/main" id="{00000000-0008-0000-0200-000012000000}"/>
              </a:ext>
            </a:extLst>
          </xdr:cNvPr>
          <xdr:cNvGrpSpPr/>
        </xdr:nvGrpSpPr>
        <xdr:grpSpPr>
          <a:xfrm>
            <a:off x="8180191" y="1298424"/>
            <a:ext cx="7362825" cy="2035932"/>
            <a:chOff x="9227941" y="1834109"/>
            <a:chExt cx="7362825" cy="1569719"/>
          </a:xfrm>
          <a:effectLst/>
        </xdr:grpSpPr>
        <xdr:sp macro="" textlink="">
          <xdr:nvSpPr>
            <xdr:cNvPr id="23" name="CONFIG_FRAME_BORDER">
              <a:extLst>
                <a:ext uri="{FF2B5EF4-FFF2-40B4-BE49-F238E27FC236}">
                  <a16:creationId xmlns:a16="http://schemas.microsoft.com/office/drawing/2014/main" id="{00000000-0008-0000-0200-000017000000}"/>
                </a:ext>
              </a:extLst>
            </xdr:cNvPr>
            <xdr:cNvSpPr/>
          </xdr:nvSpPr>
          <xdr:spPr>
            <a:xfrm>
              <a:off x="9227941" y="2083505"/>
              <a:ext cx="7362825" cy="1320323"/>
            </a:xfrm>
            <a:prstGeom prst="rect">
              <a:avLst/>
            </a:prstGeom>
            <a:no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endParaRPr lang="en-US" sz="1050">
                <a:latin typeface="Arial" pitchFamily="34" charset="0"/>
                <a:cs typeface="Arial" pitchFamily="34" charset="0"/>
              </a:endParaRPr>
            </a:p>
          </xdr:txBody>
        </xdr:sp>
        <xdr:sp macro="" textlink="">
          <xdr:nvSpPr>
            <xdr:cNvPr id="24" name="CONFIG_FRAME_TITLE">
              <a:extLst>
                <a:ext uri="{FF2B5EF4-FFF2-40B4-BE49-F238E27FC236}">
                  <a16:creationId xmlns:a16="http://schemas.microsoft.com/office/drawing/2014/main" id="{00000000-0008-0000-0200-000018000000}"/>
                </a:ext>
              </a:extLst>
            </xdr:cNvPr>
            <xdr:cNvSpPr/>
          </xdr:nvSpPr>
          <xdr:spPr>
            <a:xfrm>
              <a:off x="9227941" y="1834109"/>
              <a:ext cx="7360856" cy="239704"/>
            </a:xfrm>
            <a:prstGeom prst="rect">
              <a:avLst/>
            </a:prstGeom>
            <a:solidFill>
              <a:srgbClr val="9CACB9"/>
            </a:solid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l"/>
              <a:r>
                <a:rPr lang="en-US" sz="1050" b="1">
                  <a:solidFill>
                    <a:schemeClr val="bg1"/>
                  </a:solidFill>
                  <a:latin typeface="Arial" pitchFamily="34" charset="0"/>
                  <a:cs typeface="Arial" pitchFamily="34" charset="0"/>
                </a:rPr>
                <a:t>Round</a:t>
              </a:r>
              <a:r>
                <a:rPr lang="en-US" sz="1050" b="1" baseline="0">
                  <a:solidFill>
                    <a:schemeClr val="bg1"/>
                  </a:solidFill>
                  <a:latin typeface="Arial" pitchFamily="34" charset="0"/>
                  <a:cs typeface="Arial" pitchFamily="34" charset="0"/>
                </a:rPr>
                <a:t> Maintenance</a:t>
              </a:r>
              <a:endParaRPr lang="en-US" sz="1050" b="1">
                <a:solidFill>
                  <a:schemeClr val="bg1"/>
                </a:solidFill>
                <a:latin typeface="Arial" pitchFamily="34" charset="0"/>
                <a:cs typeface="Arial" pitchFamily="34" charset="0"/>
              </a:endParaRPr>
            </a:p>
          </xdr:txBody>
        </xdr:sp>
      </xdr:grpSp>
    </xdr:grpSp>
    <xdr:clientData fPrintsWithSheet="0"/>
  </xdr:twoCellAnchor>
  <xdr:twoCellAnchor editAs="oneCell">
    <xdr:from>
      <xdr:col>2</xdr:col>
      <xdr:colOff>66674</xdr:colOff>
      <xdr:row>23</xdr:row>
      <xdr:rowOff>19047</xdr:rowOff>
    </xdr:from>
    <xdr:to>
      <xdr:col>19</xdr:col>
      <xdr:colOff>93408</xdr:colOff>
      <xdr:row>30</xdr:row>
      <xdr:rowOff>114299</xdr:rowOff>
    </xdr:to>
    <xdr:grpSp>
      <xdr:nvGrpSpPr>
        <xdr:cNvPr id="25" name="CONFIG_FRAME">
          <a:extLst>
            <a:ext uri="{FF2B5EF4-FFF2-40B4-BE49-F238E27FC236}">
              <a16:creationId xmlns:a16="http://schemas.microsoft.com/office/drawing/2014/main" id="{00000000-0008-0000-0200-000019000000}"/>
            </a:ext>
          </a:extLst>
        </xdr:cNvPr>
        <xdr:cNvGrpSpPr/>
      </xdr:nvGrpSpPr>
      <xdr:grpSpPr>
        <a:xfrm>
          <a:off x="66674" y="6617274"/>
          <a:ext cx="7727552" cy="2034889"/>
          <a:chOff x="8180191" y="1298422"/>
          <a:chExt cx="7362825" cy="1457108"/>
        </a:xfrm>
      </xdr:grpSpPr>
      <xdr:sp macro="" textlink="">
        <xdr:nvSpPr>
          <xdr:cNvPr id="26" name="CONFIG_FRAME_SUBTITLE">
            <a:extLst>
              <a:ext uri="{FF2B5EF4-FFF2-40B4-BE49-F238E27FC236}">
                <a16:creationId xmlns:a16="http://schemas.microsoft.com/office/drawing/2014/main" id="{00000000-0008-0000-0200-00001A000000}"/>
              </a:ext>
            </a:extLst>
          </xdr:cNvPr>
          <xdr:cNvSpPr/>
        </xdr:nvSpPr>
        <xdr:spPr>
          <a:xfrm>
            <a:off x="8180192" y="1505949"/>
            <a:ext cx="7360921" cy="181111"/>
          </a:xfrm>
          <a:prstGeom prst="rect">
            <a:avLst/>
          </a:prstGeom>
          <a:solidFill>
            <a:schemeClr val="accent1">
              <a:lumMod val="20000"/>
              <a:lumOff val="8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sz="900" b="1">
                <a:solidFill>
                  <a:schemeClr val="dk1"/>
                </a:solidFill>
                <a:latin typeface="Arial" pitchFamily="34" charset="0"/>
                <a:ea typeface="+mn-ea"/>
                <a:cs typeface="Arial" pitchFamily="34" charset="0"/>
              </a:rPr>
              <a:t>Character Limit Settings for Narrative</a:t>
            </a:r>
            <a:r>
              <a:rPr lang="en-US" sz="900" b="1" baseline="0">
                <a:solidFill>
                  <a:schemeClr val="dk1"/>
                </a:solidFill>
                <a:latin typeface="Arial" pitchFamily="34" charset="0"/>
                <a:ea typeface="+mn-ea"/>
                <a:cs typeface="Arial" pitchFamily="34" charset="0"/>
              </a:rPr>
              <a:t> Fields</a:t>
            </a:r>
          </a:p>
        </xdr:txBody>
      </xdr:sp>
      <xdr:grpSp>
        <xdr:nvGrpSpPr>
          <xdr:cNvPr id="27" name="TOC">
            <a:extLst>
              <a:ext uri="{FF2B5EF4-FFF2-40B4-BE49-F238E27FC236}">
                <a16:creationId xmlns:a16="http://schemas.microsoft.com/office/drawing/2014/main" id="{00000000-0008-0000-0200-00001B000000}"/>
              </a:ext>
            </a:extLst>
          </xdr:cNvPr>
          <xdr:cNvGrpSpPr/>
        </xdr:nvGrpSpPr>
        <xdr:grpSpPr>
          <a:xfrm>
            <a:off x="8180191" y="1298422"/>
            <a:ext cx="7362825" cy="1457108"/>
            <a:chOff x="9227941" y="1834109"/>
            <a:chExt cx="7362825" cy="1123442"/>
          </a:xfrm>
          <a:effectLst/>
        </xdr:grpSpPr>
        <xdr:sp macro="" textlink="">
          <xdr:nvSpPr>
            <xdr:cNvPr id="29" name="CONFIG_FRAME_BORDER">
              <a:extLst>
                <a:ext uri="{FF2B5EF4-FFF2-40B4-BE49-F238E27FC236}">
                  <a16:creationId xmlns:a16="http://schemas.microsoft.com/office/drawing/2014/main" id="{00000000-0008-0000-0200-00001D000000}"/>
                </a:ext>
              </a:extLst>
            </xdr:cNvPr>
            <xdr:cNvSpPr/>
          </xdr:nvSpPr>
          <xdr:spPr>
            <a:xfrm>
              <a:off x="9227941" y="1994111"/>
              <a:ext cx="7362825" cy="963440"/>
            </a:xfrm>
            <a:prstGeom prst="rect">
              <a:avLst/>
            </a:prstGeom>
            <a:no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endParaRPr lang="en-US" sz="1050">
                <a:latin typeface="Arial" pitchFamily="34" charset="0"/>
                <a:cs typeface="Arial" pitchFamily="34" charset="0"/>
              </a:endParaRPr>
            </a:p>
          </xdr:txBody>
        </xdr:sp>
        <xdr:sp macro="" textlink="">
          <xdr:nvSpPr>
            <xdr:cNvPr id="30" name="CONFIG_FRAME_TITLE">
              <a:extLst>
                <a:ext uri="{FF2B5EF4-FFF2-40B4-BE49-F238E27FC236}">
                  <a16:creationId xmlns:a16="http://schemas.microsoft.com/office/drawing/2014/main" id="{00000000-0008-0000-0200-00001E000000}"/>
                </a:ext>
              </a:extLst>
            </xdr:cNvPr>
            <xdr:cNvSpPr/>
          </xdr:nvSpPr>
          <xdr:spPr>
            <a:xfrm>
              <a:off x="9227941" y="1834109"/>
              <a:ext cx="7360856" cy="158256"/>
            </a:xfrm>
            <a:prstGeom prst="rect">
              <a:avLst/>
            </a:prstGeom>
            <a:solidFill>
              <a:srgbClr val="9CACB9"/>
            </a:solid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l"/>
              <a:r>
                <a:rPr lang="en-US" sz="1050" b="1">
                  <a:solidFill>
                    <a:schemeClr val="bg1"/>
                  </a:solidFill>
                  <a:latin typeface="Arial" pitchFamily="34" charset="0"/>
                  <a:cs typeface="Arial" pitchFamily="34" charset="0"/>
                </a:rPr>
                <a:t>Narrative Field</a:t>
              </a:r>
              <a:r>
                <a:rPr lang="en-US" sz="1050" b="1" baseline="0">
                  <a:solidFill>
                    <a:schemeClr val="bg1"/>
                  </a:solidFill>
                  <a:latin typeface="Arial" pitchFamily="34" charset="0"/>
                  <a:cs typeface="Arial" pitchFamily="34" charset="0"/>
                </a:rPr>
                <a:t> </a:t>
              </a:r>
              <a:r>
                <a:rPr lang="en-US" sz="1050" b="1">
                  <a:solidFill>
                    <a:schemeClr val="bg1"/>
                  </a:solidFill>
                  <a:latin typeface="Arial" pitchFamily="34" charset="0"/>
                  <a:cs typeface="Arial" pitchFamily="34" charset="0"/>
                </a:rPr>
                <a:t>Limits</a:t>
              </a:r>
            </a:p>
          </xdr:txBody>
        </xdr:sp>
      </xdr:grpSp>
    </xdr:grpSp>
    <xdr:clientData fPrintsWithSheet="0"/>
  </xdr:twoCellAnchor>
  <xdr:twoCellAnchor>
    <xdr:from>
      <xdr:col>5</xdr:col>
      <xdr:colOff>228600</xdr:colOff>
      <xdr:row>6</xdr:row>
      <xdr:rowOff>142875</xdr:rowOff>
    </xdr:from>
    <xdr:to>
      <xdr:col>14</xdr:col>
      <xdr:colOff>123825</xdr:colOff>
      <xdr:row>6</xdr:row>
      <xdr:rowOff>142875</xdr:rowOff>
    </xdr:to>
    <xdr:cxnSp macro="">
      <xdr:nvCxnSpPr>
        <xdr:cNvPr id="31" name="DOTTED_LINE">
          <a:extLst>
            <a:ext uri="{FF2B5EF4-FFF2-40B4-BE49-F238E27FC236}">
              <a16:creationId xmlns:a16="http://schemas.microsoft.com/office/drawing/2014/main" id="{00000000-0008-0000-0200-00001F000000}"/>
            </a:ext>
          </a:extLst>
        </xdr:cNvPr>
        <xdr:cNvCxnSpPr/>
      </xdr:nvCxnSpPr>
      <xdr:spPr>
        <a:xfrm>
          <a:off x="3419475" y="2028825"/>
          <a:ext cx="419100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276225</xdr:colOff>
      <xdr:row>7</xdr:row>
      <xdr:rowOff>152400</xdr:rowOff>
    </xdr:from>
    <xdr:to>
      <xdr:col>14</xdr:col>
      <xdr:colOff>123825</xdr:colOff>
      <xdr:row>7</xdr:row>
      <xdr:rowOff>152400</xdr:rowOff>
    </xdr:to>
    <xdr:cxnSp macro="">
      <xdr:nvCxnSpPr>
        <xdr:cNvPr id="38" name="DOTTED_LINE">
          <a:extLst>
            <a:ext uri="{FF2B5EF4-FFF2-40B4-BE49-F238E27FC236}">
              <a16:creationId xmlns:a16="http://schemas.microsoft.com/office/drawing/2014/main" id="{00000000-0008-0000-0200-000026000000}"/>
            </a:ext>
          </a:extLst>
        </xdr:cNvPr>
        <xdr:cNvCxnSpPr/>
      </xdr:nvCxnSpPr>
      <xdr:spPr>
        <a:xfrm>
          <a:off x="4362450" y="2314575"/>
          <a:ext cx="3248025"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66675</xdr:colOff>
      <xdr:row>10</xdr:row>
      <xdr:rowOff>238124</xdr:rowOff>
    </xdr:from>
    <xdr:to>
      <xdr:col>19</xdr:col>
      <xdr:colOff>93408</xdr:colOff>
      <xdr:row>22</xdr:row>
      <xdr:rowOff>114299</xdr:rowOff>
    </xdr:to>
    <xdr:grpSp>
      <xdr:nvGrpSpPr>
        <xdr:cNvPr id="41" name="CONFIG_FRAME">
          <a:extLst>
            <a:ext uri="{FF2B5EF4-FFF2-40B4-BE49-F238E27FC236}">
              <a16:creationId xmlns:a16="http://schemas.microsoft.com/office/drawing/2014/main" id="{00000000-0008-0000-0200-000029000000}"/>
            </a:ext>
          </a:extLst>
        </xdr:cNvPr>
        <xdr:cNvGrpSpPr/>
      </xdr:nvGrpSpPr>
      <xdr:grpSpPr>
        <a:xfrm>
          <a:off x="66675" y="3234169"/>
          <a:ext cx="7727551" cy="3201266"/>
          <a:chOff x="8180191" y="1298424"/>
          <a:chExt cx="7362825" cy="3187091"/>
        </a:xfrm>
      </xdr:grpSpPr>
      <xdr:sp macro="" textlink="">
        <xdr:nvSpPr>
          <xdr:cNvPr id="42" name="CONFIG_FRAME_SUBTITLE">
            <a:extLst>
              <a:ext uri="{FF2B5EF4-FFF2-40B4-BE49-F238E27FC236}">
                <a16:creationId xmlns:a16="http://schemas.microsoft.com/office/drawing/2014/main" id="{00000000-0008-0000-0200-00002A000000}"/>
              </a:ext>
            </a:extLst>
          </xdr:cNvPr>
          <xdr:cNvSpPr/>
        </xdr:nvSpPr>
        <xdr:spPr>
          <a:xfrm>
            <a:off x="8180191" y="1623397"/>
            <a:ext cx="7360921" cy="275969"/>
          </a:xfrm>
          <a:prstGeom prst="rect">
            <a:avLst/>
          </a:prstGeom>
          <a:solidFill>
            <a:schemeClr val="accent1">
              <a:lumMod val="20000"/>
              <a:lumOff val="80000"/>
            </a:schemeClr>
          </a:solidFill>
          <a:ln>
            <a:no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sz="900" b="1">
                <a:solidFill>
                  <a:schemeClr val="dk1"/>
                </a:solidFill>
                <a:latin typeface="Arial" pitchFamily="34" charset="0"/>
                <a:ea typeface="+mn-ea"/>
                <a:cs typeface="Arial" pitchFamily="34" charset="0"/>
              </a:rPr>
              <a:t>Verbiage Definitions</a:t>
            </a:r>
            <a:r>
              <a:rPr lang="en-US" sz="900" b="1" baseline="0">
                <a:solidFill>
                  <a:schemeClr val="dk1"/>
                </a:solidFill>
                <a:latin typeface="Arial" pitchFamily="34" charset="0"/>
                <a:ea typeface="+mn-ea"/>
                <a:cs typeface="Arial" pitchFamily="34" charset="0"/>
              </a:rPr>
              <a:t> for Application &amp; Budget Worksheet</a:t>
            </a:r>
            <a:endParaRPr lang="en-US" sz="900">
              <a:latin typeface="Arial" pitchFamily="34" charset="0"/>
              <a:cs typeface="Arial" pitchFamily="34" charset="0"/>
            </a:endParaRPr>
          </a:p>
        </xdr:txBody>
      </xdr:sp>
      <xdr:grpSp>
        <xdr:nvGrpSpPr>
          <xdr:cNvPr id="44" name="TOC">
            <a:extLst>
              <a:ext uri="{FF2B5EF4-FFF2-40B4-BE49-F238E27FC236}">
                <a16:creationId xmlns:a16="http://schemas.microsoft.com/office/drawing/2014/main" id="{00000000-0008-0000-0200-00002C000000}"/>
              </a:ext>
            </a:extLst>
          </xdr:cNvPr>
          <xdr:cNvGrpSpPr/>
        </xdr:nvGrpSpPr>
        <xdr:grpSpPr>
          <a:xfrm>
            <a:off x="8180191" y="1298424"/>
            <a:ext cx="7362825" cy="3187091"/>
            <a:chOff x="9227941" y="1834109"/>
            <a:chExt cx="7362825" cy="2457272"/>
          </a:xfrm>
          <a:effectLst/>
        </xdr:grpSpPr>
        <xdr:sp macro="" textlink="">
          <xdr:nvSpPr>
            <xdr:cNvPr id="45" name="CONFIG_FRAME_BORDER">
              <a:extLst>
                <a:ext uri="{FF2B5EF4-FFF2-40B4-BE49-F238E27FC236}">
                  <a16:creationId xmlns:a16="http://schemas.microsoft.com/office/drawing/2014/main" id="{00000000-0008-0000-0200-00002D000000}"/>
                </a:ext>
              </a:extLst>
            </xdr:cNvPr>
            <xdr:cNvSpPr/>
          </xdr:nvSpPr>
          <xdr:spPr>
            <a:xfrm>
              <a:off x="9227941" y="2083505"/>
              <a:ext cx="7362825" cy="2207876"/>
            </a:xfrm>
            <a:prstGeom prst="rect">
              <a:avLst/>
            </a:prstGeom>
            <a:no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endParaRPr lang="en-US" sz="1050">
                <a:latin typeface="Arial" pitchFamily="34" charset="0"/>
                <a:cs typeface="Arial" pitchFamily="34" charset="0"/>
              </a:endParaRPr>
            </a:p>
          </xdr:txBody>
        </xdr:sp>
        <xdr:sp macro="" textlink="">
          <xdr:nvSpPr>
            <xdr:cNvPr id="46" name="CONFIG_FRAME_TITLE">
              <a:extLst>
                <a:ext uri="{FF2B5EF4-FFF2-40B4-BE49-F238E27FC236}">
                  <a16:creationId xmlns:a16="http://schemas.microsoft.com/office/drawing/2014/main" id="{00000000-0008-0000-0200-00002E000000}"/>
                </a:ext>
              </a:extLst>
            </xdr:cNvPr>
            <xdr:cNvSpPr/>
          </xdr:nvSpPr>
          <xdr:spPr>
            <a:xfrm>
              <a:off x="9227941" y="1834109"/>
              <a:ext cx="7360856" cy="239704"/>
            </a:xfrm>
            <a:prstGeom prst="rect">
              <a:avLst/>
            </a:prstGeom>
            <a:solidFill>
              <a:srgbClr val="9CACB9"/>
            </a:solidFill>
            <a:ln>
              <a:solidFill>
                <a:srgbClr val="9CACB9"/>
              </a:solidFill>
            </a:ln>
            <a:effectLst/>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l"/>
              <a:r>
                <a:rPr lang="en-US" sz="1050" b="1">
                  <a:solidFill>
                    <a:schemeClr val="bg1"/>
                  </a:solidFill>
                  <a:latin typeface="Arial" pitchFamily="34" charset="0"/>
                  <a:cs typeface="Arial" pitchFamily="34" charset="0"/>
                </a:rPr>
                <a:t>Verbiage</a:t>
              </a:r>
              <a:r>
                <a:rPr lang="en-US" sz="1050" b="1" baseline="0">
                  <a:solidFill>
                    <a:schemeClr val="bg1"/>
                  </a:solidFill>
                  <a:latin typeface="Arial" pitchFamily="34" charset="0"/>
                  <a:cs typeface="Arial" pitchFamily="34" charset="0"/>
                </a:rPr>
                <a:t> Definitions</a:t>
              </a:r>
              <a:endParaRPr lang="en-US" sz="1050" b="1">
                <a:solidFill>
                  <a:schemeClr val="bg1"/>
                </a:solidFill>
                <a:latin typeface="Arial" pitchFamily="34" charset="0"/>
                <a:cs typeface="Arial" pitchFamily="34" charset="0"/>
              </a:endParaRPr>
            </a:p>
          </xdr:txBody>
        </xdr:sp>
      </xdr:grpSp>
    </xdr:grpSp>
    <xdr:clientData fPrintsWithSheet="0"/>
  </xdr:twoCellAnchor>
  <xdr:twoCellAnchor editAs="oneCell">
    <xdr:from>
      <xdr:col>2</xdr:col>
      <xdr:colOff>9526</xdr:colOff>
      <xdr:row>0</xdr:row>
      <xdr:rowOff>0</xdr:rowOff>
    </xdr:from>
    <xdr:to>
      <xdr:col>20</xdr:col>
      <xdr:colOff>0</xdr:colOff>
      <xdr:row>2</xdr:row>
      <xdr:rowOff>20954</xdr:rowOff>
    </xdr:to>
    <xdr:sp macro="" textlink="">
      <xdr:nvSpPr>
        <xdr:cNvPr id="43" name="HEADER_SHORTCUT_TOP">
          <a:hlinkClick xmlns:r="http://schemas.openxmlformats.org/officeDocument/2006/relationships" r:id="rId2" tooltip="Jump to Top"/>
          <a:extLst>
            <a:ext uri="{FF2B5EF4-FFF2-40B4-BE49-F238E27FC236}">
              <a16:creationId xmlns:a16="http://schemas.microsoft.com/office/drawing/2014/main" id="{00000000-0008-0000-0200-00002B000000}"/>
            </a:ext>
          </a:extLst>
        </xdr:cNvPr>
        <xdr:cNvSpPr/>
      </xdr:nvSpPr>
      <xdr:spPr>
        <a:xfrm>
          <a:off x="9526" y="0"/>
          <a:ext cx="7477124" cy="790574"/>
        </a:xfrm>
        <a:prstGeom prst="rect">
          <a:avLst/>
        </a:prstGeom>
        <a:solidFill>
          <a:schemeClr val="bg1">
            <a:alpha val="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700">
            <a:latin typeface="Arial" pitchFamily="34" charset="0"/>
            <a:cs typeface="Arial" pitchFamily="34" charset="0"/>
          </a:endParaRPr>
        </a:p>
      </xdr:txBody>
    </xdr:sp>
    <xdr:clientData fPrintsWithSheet="0"/>
  </xdr:twoCellAnchor>
  <xdr:twoCellAnchor>
    <xdr:from>
      <xdr:col>7</xdr:col>
      <xdr:colOff>581025</xdr:colOff>
      <xdr:row>26</xdr:row>
      <xdr:rowOff>142875</xdr:rowOff>
    </xdr:from>
    <xdr:to>
      <xdr:col>14</xdr:col>
      <xdr:colOff>85725</xdr:colOff>
      <xdr:row>26</xdr:row>
      <xdr:rowOff>142875</xdr:rowOff>
    </xdr:to>
    <xdr:cxnSp macro="">
      <xdr:nvCxnSpPr>
        <xdr:cNvPr id="32" name="DOTTED_LINE">
          <a:extLst>
            <a:ext uri="{FF2B5EF4-FFF2-40B4-BE49-F238E27FC236}">
              <a16:creationId xmlns:a16="http://schemas.microsoft.com/office/drawing/2014/main" id="{00000000-0008-0000-0200-000020000000}"/>
            </a:ext>
          </a:extLst>
        </xdr:cNvPr>
        <xdr:cNvCxnSpPr/>
      </xdr:nvCxnSpPr>
      <xdr:spPr>
        <a:xfrm>
          <a:off x="2533650" y="5895975"/>
          <a:ext cx="2905125"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695325</xdr:colOff>
      <xdr:row>27</xdr:row>
      <xdr:rowOff>142875</xdr:rowOff>
    </xdr:from>
    <xdr:to>
      <xdr:col>14</xdr:col>
      <xdr:colOff>85725</xdr:colOff>
      <xdr:row>27</xdr:row>
      <xdr:rowOff>142875</xdr:rowOff>
    </xdr:to>
    <xdr:cxnSp macro="">
      <xdr:nvCxnSpPr>
        <xdr:cNvPr id="34" name="DOTTED_LINE">
          <a:extLst>
            <a:ext uri="{FF2B5EF4-FFF2-40B4-BE49-F238E27FC236}">
              <a16:creationId xmlns:a16="http://schemas.microsoft.com/office/drawing/2014/main" id="{00000000-0008-0000-0200-000022000000}"/>
            </a:ext>
          </a:extLst>
        </xdr:cNvPr>
        <xdr:cNvCxnSpPr/>
      </xdr:nvCxnSpPr>
      <xdr:spPr>
        <a:xfrm>
          <a:off x="2647950" y="6172200"/>
          <a:ext cx="2790825"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628650</xdr:colOff>
      <xdr:row>28</xdr:row>
      <xdr:rowOff>142875</xdr:rowOff>
    </xdr:from>
    <xdr:to>
      <xdr:col>14</xdr:col>
      <xdr:colOff>85725</xdr:colOff>
      <xdr:row>28</xdr:row>
      <xdr:rowOff>142875</xdr:rowOff>
    </xdr:to>
    <xdr:cxnSp macro="">
      <xdr:nvCxnSpPr>
        <xdr:cNvPr id="35" name="DOTTED_LINE">
          <a:extLst>
            <a:ext uri="{FF2B5EF4-FFF2-40B4-BE49-F238E27FC236}">
              <a16:creationId xmlns:a16="http://schemas.microsoft.com/office/drawing/2014/main" id="{00000000-0008-0000-0200-000023000000}"/>
            </a:ext>
          </a:extLst>
        </xdr:cNvPr>
        <xdr:cNvCxnSpPr/>
      </xdr:nvCxnSpPr>
      <xdr:spPr>
        <a:xfrm>
          <a:off x="2581275" y="6448425"/>
          <a:ext cx="2857500"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161925</xdr:colOff>
      <xdr:row>29</xdr:row>
      <xdr:rowOff>133350</xdr:rowOff>
    </xdr:from>
    <xdr:to>
      <xdr:col>14</xdr:col>
      <xdr:colOff>85725</xdr:colOff>
      <xdr:row>29</xdr:row>
      <xdr:rowOff>133350</xdr:rowOff>
    </xdr:to>
    <xdr:cxnSp macro="">
      <xdr:nvCxnSpPr>
        <xdr:cNvPr id="36" name="DOTTED_LINE">
          <a:extLst>
            <a:ext uri="{FF2B5EF4-FFF2-40B4-BE49-F238E27FC236}">
              <a16:creationId xmlns:a16="http://schemas.microsoft.com/office/drawing/2014/main" id="{00000000-0008-0000-0200-000024000000}"/>
            </a:ext>
          </a:extLst>
        </xdr:cNvPr>
        <xdr:cNvCxnSpPr/>
      </xdr:nvCxnSpPr>
      <xdr:spPr>
        <a:xfrm>
          <a:off x="3009900" y="6715125"/>
          <a:ext cx="2428875"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276225</xdr:colOff>
      <xdr:row>8</xdr:row>
      <xdr:rowOff>152400</xdr:rowOff>
    </xdr:from>
    <xdr:to>
      <xdr:col>14</xdr:col>
      <xdr:colOff>123825</xdr:colOff>
      <xdr:row>8</xdr:row>
      <xdr:rowOff>152400</xdr:rowOff>
    </xdr:to>
    <xdr:cxnSp macro="">
      <xdr:nvCxnSpPr>
        <xdr:cNvPr id="37" name="DOTTED_LINE">
          <a:extLst>
            <a:ext uri="{FF2B5EF4-FFF2-40B4-BE49-F238E27FC236}">
              <a16:creationId xmlns:a16="http://schemas.microsoft.com/office/drawing/2014/main" id="{00000000-0008-0000-0200-000025000000}"/>
            </a:ext>
          </a:extLst>
        </xdr:cNvPr>
        <xdr:cNvCxnSpPr/>
      </xdr:nvCxnSpPr>
      <xdr:spPr>
        <a:xfrm>
          <a:off x="4362450" y="2314575"/>
          <a:ext cx="3248025"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276225</xdr:colOff>
      <xdr:row>9</xdr:row>
      <xdr:rowOff>152400</xdr:rowOff>
    </xdr:from>
    <xdr:to>
      <xdr:col>14</xdr:col>
      <xdr:colOff>123825</xdr:colOff>
      <xdr:row>9</xdr:row>
      <xdr:rowOff>152400</xdr:rowOff>
    </xdr:to>
    <xdr:cxnSp macro="">
      <xdr:nvCxnSpPr>
        <xdr:cNvPr id="39" name="DOTTED_LINE">
          <a:extLst>
            <a:ext uri="{FF2B5EF4-FFF2-40B4-BE49-F238E27FC236}">
              <a16:creationId xmlns:a16="http://schemas.microsoft.com/office/drawing/2014/main" id="{00000000-0008-0000-0200-000027000000}"/>
            </a:ext>
          </a:extLst>
        </xdr:cNvPr>
        <xdr:cNvCxnSpPr/>
      </xdr:nvCxnSpPr>
      <xdr:spPr>
        <a:xfrm>
          <a:off x="4362450" y="2314575"/>
          <a:ext cx="3248025" cy="0"/>
        </a:xfrm>
        <a:prstGeom prst="line">
          <a:avLst/>
        </a:prstGeom>
        <a:ln w="9525" cap="rnd">
          <a:solidFill>
            <a:schemeClr val="tx1">
              <a:lumMod val="85000"/>
              <a:lumOff val="15000"/>
            </a:schemeClr>
          </a:solidFill>
          <a:prstDash val="sysDot"/>
          <a:round/>
        </a:ln>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B_TBL_CONFIG_APP" displayName="DB_TBL_CONFIG_APP" ref="A2:D18" totalsRowShown="0" headerRowDxfId="165" dataDxfId="164">
  <tableColumns count="4">
    <tableColumn id="1" xr3:uid="{00000000-0010-0000-0000-000001000000}" name="CONFIG_VAR" dataDxfId="163"/>
    <tableColumn id="2" xr3:uid="{00000000-0010-0000-0000-000002000000}" name="CONFIG_DESC" dataDxfId="162"/>
    <tableColumn id="3" xr3:uid="{00000000-0010-0000-0000-000003000000}" name="CONFIG_TYPE" dataDxfId="161"/>
    <tableColumn id="4" xr3:uid="{00000000-0010-0000-0000-000004000000}" name="CONFIG_VALUE" dataDxfId="160">
      <calculatedColumnFormula>VLOOKUP("APP_TYPE",DB_TBL_DATA_FIELDS[[#All],[FIELD_ID]:[FIELD_VALUE_CLEAN]],8,FALSE)</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DB_TBL_CONFIG_FIELDSTATUSCODES" displayName="DB_TBL_CONFIG_FIELDSTATUSCODES" ref="F2:J6" totalsRowShown="0" headerRowDxfId="159" dataDxfId="158">
  <sortState xmlns:xlrd2="http://schemas.microsoft.com/office/spreadsheetml/2017/richdata2" ref="F3:J6">
    <sortCondition ref="F2:F6"/>
  </sortState>
  <tableColumns count="5">
    <tableColumn id="1" xr3:uid="{00000000-0010-0000-0100-000001000000}" name="FIELD_STATUS_CODE" dataDxfId="157"/>
    <tableColumn id="2" xr3:uid="{00000000-0010-0000-0100-000002000000}" name="FIELD_STATUS_DESCRIPTION" dataDxfId="156"/>
    <tableColumn id="5" xr3:uid="{00000000-0010-0000-0100-000005000000}" name="FIELD_STATUS_COMMENT" dataDxfId="155"/>
    <tableColumn id="3" xr3:uid="{00000000-0010-0000-0100-000003000000}" name="FIELD_STATUS_ICON" dataDxfId="154"/>
    <tableColumn id="4" xr3:uid="{00000000-0010-0000-0100-000004000000}" name="FIELD_STATUS_ICON_FONT" dataDxfId="153"/>
  </tableColumns>
  <tableStyleInfo name="TableStyleMedium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DB_TBL_CONFIG_WARNINGMSGS" displayName="DB_TBL_CONFIG_WARNINGMSGS" ref="L2:M3" totalsRowShown="0" headerRowDxfId="152" dataDxfId="151">
  <autoFilter ref="L2:M3" xr:uid="{00000000-0009-0000-0100-000006000000}"/>
  <tableColumns count="2">
    <tableColumn id="1" xr3:uid="{00000000-0010-0000-0200-000001000000}" name="WARNINGMSG_ID" dataDxfId="150"/>
    <tableColumn id="2" xr3:uid="{00000000-0010-0000-0200-000002000000}" name="WARNINGMSG_TEXT" dataDxfId="149"/>
  </tableColumns>
  <tableStyleInfo name="TableStyleMedium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DB_TBL_DATA_FIELDS" displayName="DB_TBL_DATA_FIELDS" ref="A2:AE153" totalsRowShown="0" headerRowDxfId="148" dataDxfId="147">
  <autoFilter ref="A2:AE153" xr:uid="{00000000-0009-0000-0100-000002000000}"/>
  <sortState xmlns:xlrd2="http://schemas.microsoft.com/office/spreadsheetml/2017/richdata2" ref="A107:AE108">
    <sortCondition ref="C2:C153"/>
  </sortState>
  <tableColumns count="31">
    <tableColumn id="31" xr3:uid="{00000000-0010-0000-0300-00001F000000}" name="APPLICABLE_EFORM_LIST" dataDxfId="146"/>
    <tableColumn id="1" xr3:uid="{00000000-0010-0000-0300-000001000000}" name="SHEET_REF_CALC" dataDxfId="145">
      <calculatedColumnFormula>IF('$DB.CONFIG'!#REF!="R",#REF!,#REF!)</calculatedColumnFormula>
    </tableColumn>
    <tableColumn id="2" xr3:uid="{00000000-0010-0000-0300-000002000000}" name="FIELD_ID" dataDxfId="144"/>
    <tableColumn id="4" xr3:uid="{00000000-0010-0000-0300-000004000000}" name="FIELD_EXPORT_FLAG" dataDxfId="143"/>
    <tableColumn id="8" xr3:uid="{00000000-0010-0000-0300-000008000000}" name="FIELD_REQ_FLAG" dataDxfId="142"/>
    <tableColumn id="3" xr3:uid="{00000000-0010-0000-0300-000003000000}" name="FIELD_DESC" dataDxfId="141"/>
    <tableColumn id="5" xr3:uid="{00000000-0010-0000-0300-000005000000}" name="FIELD_VALUE_RAW" dataDxfId="140">
      <calculatedColumnFormula>IFERROR(VLOOKUP(DB_TBL_DATA_FIELDS[[#This Row],[FIELD_ID]],INDIRECT(DB_TBL_DATA_FIELDS[[#This Row],[SHEET_REF_CALC]]&amp;"!A:B"),2,FALSE),"")</calculatedColumnFormula>
    </tableColumn>
    <tableColumn id="26" xr3:uid="{00000000-0010-0000-0300-00001A000000}" name="FIELD_VALID_CUSTOM_LOGIC" dataDxfId="139"/>
    <tableColumn id="14" xr3:uid="{00000000-0010-0000-0300-00000E000000}" name="FIELD_EMPTY_FLAG" dataDxfId="138">
      <calculatedColumnFormula>(DB_TBL_DATA_FIELDS[[#This Row],[FIELD_VALUE_RAW]]="")</calculatedColumnFormula>
    </tableColumn>
    <tableColumn id="15" xr3:uid="{00000000-0010-0000-0300-00000F000000}" name="FIELD_TYPE" dataDxfId="137"/>
    <tableColumn id="12" xr3:uid="{00000000-0010-0000-0300-00000C000000}" name="FIELD_VALID_FLAG" dataDxfId="136">
      <calculatedColumnFormula>AND(IF(DB_TBL_DATA_FIELDS[[#This Row],[FIELD_VALID_CUSTOM_LOGIC]]="",TRUE,DB_TBL_DATA_FIELDS[[#This Row],[FIELD_VALID_CUSTOM_LOGIC]]),DB_TBL_DATA_FIELDS[[#This Row],[RANGE_VALIDATION_PASSED_FLAG]])</calculatedColumnFormula>
    </tableColumn>
    <tableColumn id="6" xr3:uid="{00000000-0010-0000-0300-000006000000}" name="FIELD_VALUE_CLEAN" dataDxfId="135">
      <calculatedColumnFormula>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calculatedColumnFormula>
    </tableColumn>
    <tableColumn id="13" xr3:uid="{00000000-0010-0000-0300-00000D000000}" name="FIELD_STATUS_CODE" dataDxfId="134">
      <calculatedColumnFormula>IF(DB_TBL_DATA_FIELDS[[#This Row],[SHEET_REF_CALC]]="","",IF(DB_TBL_DATA_FIELDS[[#This Row],[FIELD_EMPTY_FLAG]],IF(NOT(DB_TBL_DATA_FIELDS[[#This Row],[FIELD_REQ_FLAG]]),-1,1),IF(NOT(DB_TBL_DATA_FIELDS[[#This Row],[FIELD_VALID_FLAG]]),0,2)))</calculatedColumnFormula>
    </tableColumn>
    <tableColumn id="7" xr3:uid="{00000000-0010-0000-0300-000007000000}" name="FIELD_STATUS_DISPLAY" dataDxfId="133">
      <calculatedColumnFormula>IFERROR(VLOOKUP(DB_TBL_DATA_FIELDS[[#This Row],[FIELD_STATUS_CODE]],DB_TBL_CONFIG_FIELDSTATUSCODES[#All],3,FALSE),"")</calculatedColumnFormula>
    </tableColumn>
    <tableColumn id="11" xr3:uid="{00000000-0010-0000-0300-00000B000000}" name="FIELD_STATUS_ICON" dataDxfId="132">
      <calculatedColumnFormula>IFERROR(VLOOKUP(DB_TBL_DATA_FIELDS[[#This Row],[FIELD_STATUS_CODE]],DB_TBL_CONFIG_FIELDSTATUSCODES[#All],4,FALSE),"")</calculatedColumnFormula>
    </tableColumn>
    <tableColumn id="23" xr3:uid="{00000000-0010-0000-0300-000017000000}" name="TRIM_TEXT_FLAG" dataDxfId="131">
      <calculatedColumnFormula>TRUE</calculatedColumnFormula>
    </tableColumn>
    <tableColumn id="24" xr3:uid="{00000000-0010-0000-0300-000018000000}" name="RANGE_VALIDATION_ON_FLAG" dataDxfId="130">
      <calculatedColumnFormula>TRUE</calculatedColumnFormula>
    </tableColumn>
    <tableColumn id="22" xr3:uid="{00000000-0010-0000-0300-000016000000}" name="RANGE_VALIDATION_FLAG" dataDxfId="129"/>
    <tableColumn id="25" xr3:uid="{00000000-0010-0000-0300-000019000000}" name="RANGE_VALUE_LEN" dataDxfId="128">
      <calculatedColumnFormula>IF(DB_TBL_DATA_FIELDS[[#This Row],[RANGE_VALIDATION_FLAG]]="Text",LEN(DB_TBL_DATA_FIELDS[[#This Row],[FIELD_VALUE_RAW]]),IFERROR(VALUE(DB_TBL_DATA_FIELDS[[#This Row],[FIELD_VALUE_RAW]]),-1))</calculatedColumnFormula>
    </tableColumn>
    <tableColumn id="19" xr3:uid="{00000000-0010-0000-0300-000013000000}" name="RANGE_VALIDATION_MIN" dataDxfId="127">
      <calculatedColumnFormula>IF(#REF!="","",VLOOKUP("VMIN_"&amp;#REF!,DB_TBL_CONFIG_APP[#All],4,FALSE))</calculatedColumnFormula>
    </tableColumn>
    <tableColumn id="20" xr3:uid="{00000000-0010-0000-0300-000014000000}" name="RANGE_VALIDATION_MAX" dataDxfId="126">
      <calculatedColumnFormula>IF(#REF!="","",VLOOKUP("VMAX_"&amp;#REF!,DB_TBL_CONFIG_APP[#All],4,FALSE))</calculatedColumnFormula>
    </tableColumn>
    <tableColumn id="21" xr3:uid="{00000000-0010-0000-0300-000015000000}" name="RANGE_VALIDATION_PASSED_FLAG" dataDxfId="125">
      <calculatedColumnFormula>IF(NOT(DB_TBL_DATA_FIELDS[[#This Row],[RANGE_VALIDATION_ON_FLAG]]),TRUE,
AND(DB_TBL_DATA_FIELDS[[#This Row],[RANGE_VALUE_LEN]]&gt;=DB_TBL_DATA_FIELDS[[#This Row],[RANGE_VALIDATION_MIN]],DB_TBL_DATA_FIELDS[[#This Row],[RANGE_VALUE_LEN]]&lt;=DB_TBL_DATA_FIELDS[[#This Row],[RANGE_VALIDATION_MAX]]))</calculatedColumnFormula>
    </tableColumn>
    <tableColumn id="27" xr3:uid="{00000000-0010-0000-0300-00001B000000}" name="PCT_CALC_SHOW_STATUS_CODE" dataDxfId="124"/>
    <tableColumn id="28" xr3:uid="{00000000-0010-0000-0300-00001C000000}" name="PCT_CALC_FIELD_STATUS_CODE" dataDxfId="123">
      <calculatedColumnFormula>IF(DB_TBL_DATA_FIELDS[[#This Row],[PCT_CALC_SHOW_STATUS_CODE]]=1,
DB_TBL_DATA_FIELDS[[#This Row],[FIELD_STATUS_CODE]],
IF(AND(DB_TBL_DATA_FIELDS[[#This Row],[PCT_CALC_SHOW_STATUS_CODE]]=2,DB_TBL_DATA_FIELDS[[#This Row],[FIELD_STATUS_CODE]]=0),
DB_TBL_DATA_FIELDS[[#This Row],[FIELD_STATUS_CODE]],
"")
)</calculatedColumnFormula>
    </tableColumn>
    <tableColumn id="30" xr3:uid="{00000000-0010-0000-0300-00001E000000}" name="ERROR_MESSAGE" dataDxfId="122"/>
    <tableColumn id="16" xr3:uid="{00000000-0010-0000-0300-000010000000}" name="SPEC_FIELD_ID" dataDxfId="121"/>
    <tableColumn id="17" xr3:uid="{00000000-0010-0000-0300-000011000000}" name="APP SECTION" dataDxfId="120"/>
    <tableColumn id="9" xr3:uid="{00000000-0010-0000-0300-000009000000}" name="Mapping | DB Field Name" dataDxfId="119"/>
    <tableColumn id="10" xr3:uid="{00000000-0010-0000-0300-00000A000000}" name="Mapping | DB Field Type" dataDxfId="118"/>
    <tableColumn id="29" xr3:uid="{00000000-0010-0000-0300-00001D000000}" name="Mapping | Comments" dataDxfId="117"/>
    <tableColumn id="18" xr3:uid="{00000000-0010-0000-0300-000012000000}" name="DEVELOPER_COMMENTS" dataDxfId="116"/>
  </tableColumns>
  <tableStyleInfo name="TableStyleMedium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DB_TBL_EXPORT_STAGE" displayName="DB_TBL_EXPORT_STAGE" ref="A1:BT2" totalsRowShown="0" headerRowDxfId="115" dataDxfId="113" headerRowBorderDxfId="114" tableBorderDxfId="112">
  <tableColumns count="72">
    <tableColumn id="90" xr3:uid="{00000000-0010-0000-0400-00005A000000}" name="AHEAD_ROUND" dataDxfId="111">
      <calculatedColumnFormula>VLOOKUP(A1,DB_TBL_DATA_FIELDS[[FIELD_ID]:[FIELD_VALUE_CLEAN]],10,FALSE)</calculatedColumnFormula>
    </tableColumn>
    <tableColumn id="3" xr3:uid="{00000000-0010-0000-0400-000003000000}" name="APP_COMPLETE_FLAG" dataDxfId="110">
      <calculatedColumnFormula>VLOOKUP(B1,DB_TBL_DATA_FIELDS[[FIELD_ID]:[FIELD_VALUE_CLEAN]],10,FALSE)</calculatedColumnFormula>
    </tableColumn>
    <tableColumn id="1" xr3:uid="{00000000-0010-0000-0400-000001000000}" name="PROJ_NAME" dataDxfId="109">
      <calculatedColumnFormula>VLOOKUP(C1,DB_TBL_DATA_FIELDS[[FIELD_ID]:[FIELD_VALUE_CLEAN]],10,FALSE)</calculatedColumnFormula>
    </tableColumn>
    <tableColumn id="2" xr3:uid="{00000000-0010-0000-0400-000002000000}" name="PROJ_ADDRESS" dataDxfId="108">
      <calculatedColumnFormula>VLOOKUP(D1,DB_TBL_DATA_FIELDS[[FIELD_ID]:[FIELD_VALUE_CLEAN]],10,FALSE)</calculatedColumnFormula>
    </tableColumn>
    <tableColumn id="4" xr3:uid="{00000000-0010-0000-0400-000004000000}" name="PROJ_CITY" dataDxfId="107">
      <calculatedColumnFormula>VLOOKUP(E1,DB_TBL_DATA_FIELDS[[FIELD_ID]:[FIELD_VALUE_CLEAN]],10,FALSE)</calculatedColumnFormula>
    </tableColumn>
    <tableColumn id="5" xr3:uid="{00000000-0010-0000-0400-000005000000}" name="PROJ_STATE" dataDxfId="106">
      <calculatedColumnFormula>VLOOKUP(F1,DB_TBL_DATA_FIELDS[[FIELD_ID]:[FIELD_VALUE_CLEAN]],10,FALSE)</calculatedColumnFormula>
    </tableColumn>
    <tableColumn id="6" xr3:uid="{00000000-0010-0000-0400-000006000000}" name="PROJ_ZIP_CODE" dataDxfId="105">
      <calculatedColumnFormula>VLOOKUP(G1,DB_TBL_DATA_FIELDS[[FIELD_ID]:[FIELD_VALUE_CLEAN]],10,FALSE)</calculatedColumnFormula>
    </tableColumn>
    <tableColumn id="7" xr3:uid="{00000000-0010-0000-0400-000007000000}" name="PROJ_CONGRESSIONAL_DISTRICT" dataDxfId="104">
      <calculatedColumnFormula>VLOOKUP(H1,DB_TBL_DATA_FIELDS[[FIELD_ID]:[FIELD_VALUE_CLEAN]],10,FALSE)</calculatedColumnFormula>
    </tableColumn>
    <tableColumn id="8" xr3:uid="{00000000-0010-0000-0400-000008000000}" name="PROJ_COUNTY" dataDxfId="103">
      <calculatedColumnFormula>VLOOKUP(I1,DB_TBL_DATA_FIELDS[[FIELD_ID]:[FIELD_VALUE_CLEAN]],10,FALSE)</calculatedColumnFormula>
    </tableColumn>
    <tableColumn id="9" xr3:uid="{00000000-0010-0000-0400-000009000000}" name="SUBSIDY_AMOUNT_REQUESTED" dataDxfId="102">
      <calculatedColumnFormula>VLOOKUP(J1,DB_TBL_DATA_FIELDS[[FIELD_ID]:[FIELD_VALUE_CLEAN]],10,FALSE)</calculatedColumnFormula>
    </tableColumn>
    <tableColumn id="10" xr3:uid="{00000000-0010-0000-0400-00000A000000}" name="SPONSOR_AHEAD_GRANT_FLG" dataDxfId="101">
      <calculatedColumnFormula>VLOOKUP(K1,DB_TBL_DATA_FIELDS[[FIELD_ID]:[FIELD_VALUE_CLEAN]],10,FALSE)</calculatedColumnFormula>
    </tableColumn>
    <tableColumn id="11" xr3:uid="{00000000-0010-0000-0400-00000B000000}" name="SPONSOR_AHEAD_GRANT" dataDxfId="100">
      <calculatedColumnFormula>VLOOKUP(L1,DB_TBL_DATA_FIELDS[[FIELD_ID]:[FIELD_VALUE_CLEAN]],10,FALSE)</calculatedColumnFormula>
    </tableColumn>
    <tableColumn id="12" xr3:uid="{00000000-0010-0000-0400-00000C000000}" name="PROJECT_TYPE" dataDxfId="99">
      <calculatedColumnFormula>VLOOKUP(M1,DB_TBL_DATA_FIELDS[[FIELD_ID]:[FIELD_VALUE_CLEAN]],10,FALSE)</calculatedColumnFormula>
    </tableColumn>
    <tableColumn id="13" xr3:uid="{00000000-0010-0000-0400-00000D000000}" name="PROJECT_ECON_DEVP" dataDxfId="98">
      <calculatedColumnFormula>VLOOKUP(N1,DB_TBL_DATA_FIELDS[[FIELD_ID]:[FIELD_VALUE_CLEAN]],10,FALSE)</calculatedColumnFormula>
    </tableColumn>
    <tableColumn id="14" xr3:uid="{00000000-0010-0000-0400-00000E000000}" name="CREATE_RETAIN_JOB_FLG" dataDxfId="97">
      <calculatedColumnFormula>VLOOKUP(O1,DB_TBL_DATA_FIELDS[[FIELD_ID]:[FIELD_VALUE_CLEAN]],10,FALSE)</calculatedColumnFormula>
    </tableColumn>
    <tableColumn id="15" xr3:uid="{00000000-0010-0000-0400-00000F000000}" name="CREATE_RETAIN_JOB" dataDxfId="96">
      <calculatedColumnFormula>VLOOKUP(P1,DB_TBL_DATA_FIELDS[[FIELD_ID]:[FIELD_VALUE_CLEAN]],10,FALSE)</calculatedColumnFormula>
    </tableColumn>
    <tableColumn id="16" xr3:uid="{00000000-0010-0000-0400-000010000000}" name="PROJECT_ANNUAL_SAL_FLG" dataDxfId="95">
      <calculatedColumnFormula>VLOOKUP(Q1,DB_TBL_DATA_FIELDS[[FIELD_ID]:[FIELD_VALUE_CLEAN]],10,FALSE)</calculatedColumnFormula>
    </tableColumn>
    <tableColumn id="17" xr3:uid="{00000000-0010-0000-0400-000011000000}" name="PROJECT_SMALL_BUSINESS_FLG" dataDxfId="94">
      <calculatedColumnFormula>VLOOKUP(R1,DB_TBL_DATA_FIELDS[[FIELD_ID]:[FIELD_VALUE_CLEAN]],10,FALSE)</calculatedColumnFormula>
    </tableColumn>
    <tableColumn id="18" xr3:uid="{00000000-0010-0000-0400-000012000000}" name="PROJECT_SERVICES_FLG" dataDxfId="93">
      <calculatedColumnFormula>VLOOKUP(S1,DB_TBL_DATA_FIELDS[[FIELD_ID]:[FIELD_VALUE_CLEAN]],10,FALSE)</calculatedColumnFormula>
    </tableColumn>
    <tableColumn id="19" xr3:uid="{00000000-0010-0000-0400-000013000000}" name="PROJECT_ANNUAL_INCOME_FLG" dataDxfId="92">
      <calculatedColumnFormula>VLOOKUP(T1,DB_TBL_DATA_FIELDS[[FIELD_ID]:[FIELD_VALUE_CLEAN]],10,FALSE)</calculatedColumnFormula>
    </tableColumn>
    <tableColumn id="20" xr3:uid="{00000000-0010-0000-0400-000014000000}" name="IMPACT_INDV_SERVED_ORG_NO" dataDxfId="91">
      <calculatedColumnFormula>VLOOKUP(U1,DB_TBL_DATA_FIELDS[[FIELD_ID]:[FIELD_VALUE_CLEAN]],10,FALSE)</calculatedColumnFormula>
    </tableColumn>
    <tableColumn id="21" xr3:uid="{00000000-0010-0000-0400-000015000000}" name="IMPACT_NEW_INDV_SERVED_ORG_NO" dataDxfId="90">
      <calculatedColumnFormula>VLOOKUP(V1,DB_TBL_DATA_FIELDS[[FIELD_ID]:[FIELD_VALUE_CLEAN]],10,FALSE)</calculatedColumnFormula>
    </tableColumn>
    <tableColumn id="22" xr3:uid="{00000000-0010-0000-0400-000016000000}" name="IMPACT_ENT_SERVED_ORG_NO" dataDxfId="89">
      <calculatedColumnFormula>VLOOKUP(W1,DB_TBL_DATA_FIELDS[[FIELD_ID]:[FIELD_VALUE_CLEAN]],10,FALSE)</calculatedColumnFormula>
    </tableColumn>
    <tableColumn id="23" xr3:uid="{00000000-0010-0000-0400-000017000000}" name="IMPACT_NEW_ENT_SERVED_ORG_NO" dataDxfId="88">
      <calculatedColumnFormula>VLOOKUP(X1,DB_TBL_DATA_FIELDS[[FIELD_ID]:[FIELD_VALUE_CLEAN]],10,FALSE)</calculatedColumnFormula>
    </tableColumn>
    <tableColumn id="24" xr3:uid="{00000000-0010-0000-0400-000018000000}" name="IMPACT_INDV_ENROLLED_FINCLEDU_ORG_NO" dataDxfId="87">
      <calculatedColumnFormula>VLOOKUP(Y1,DB_TBL_DATA_FIELDS[[FIELD_ID]:[FIELD_VALUE_CLEAN]],10,FALSE)</calculatedColumnFormula>
    </tableColumn>
    <tableColumn id="25" xr3:uid="{00000000-0010-0000-0400-000019000000}" name="IMPACT_NEW_INDV_ENROLLED_FINCLEDU_ORG_NO" dataDxfId="86">
      <calculatedColumnFormula>VLOOKUP(Z1,DB_TBL_DATA_FIELDS[[FIELD_ID]:[FIELD_VALUE_CLEAN]],10,FALSE)</calculatedColumnFormula>
    </tableColumn>
    <tableColumn id="26" xr3:uid="{00000000-0010-0000-0400-00001A000000}" name="IMPACT_FULLTIME_ORG_NO" dataDxfId="85">
      <calculatedColumnFormula>VLOOKUP(AA1,DB_TBL_DATA_FIELDS[[FIELD_ID]:[FIELD_VALUE_CLEAN]],10,FALSE)</calculatedColumnFormula>
    </tableColumn>
    <tableColumn id="27" xr3:uid="{00000000-0010-0000-0400-00001B000000}" name="IMPACT_NEW_FULLTIME_ORG_NO" dataDxfId="84">
      <calculatedColumnFormula>VLOOKUP(AB1,DB_TBL_DATA_FIELDS[[FIELD_ID]:[FIELD_VALUE_CLEAN]],10,FALSE)</calculatedColumnFormula>
    </tableColumn>
    <tableColumn id="28" xr3:uid="{00000000-0010-0000-0400-00001C000000}" name="IMPACT_INDV_TA_ORG_NO" dataDxfId="83">
      <calculatedColumnFormula>VLOOKUP(AC1,DB_TBL_DATA_FIELDS[[FIELD_ID]:[FIELD_VALUE_CLEAN]],10,FALSE)</calculatedColumnFormula>
    </tableColumn>
    <tableColumn id="29" xr3:uid="{00000000-0010-0000-0400-00001D000000}" name="IMPACT_NEW_INDV_TA_ORG_NO" dataDxfId="82">
      <calculatedColumnFormula>VLOOKUP(AD1,DB_TBL_DATA_FIELDS[[FIELD_ID]:[FIELD_VALUE_CLEAN]],10,FALSE)</calculatedColumnFormula>
    </tableColumn>
    <tableColumn id="30" xr3:uid="{00000000-0010-0000-0400-00001E000000}" name="TB_ATRISK_FLG " dataDxfId="81">
      <calculatedColumnFormula>VLOOKUP(AE1,DB_TBL_DATA_FIELDS[[FIELD_ID]:[FIELD_VALUE_CLEAN]],10,FALSE)</calculatedColumnFormula>
    </tableColumn>
    <tableColumn id="31" xr3:uid="{00000000-0010-0000-0400-00001F000000}" name="TB_LOW_FLG" dataDxfId="80">
      <calculatedColumnFormula>VLOOKUP(AF1,DB_TBL_DATA_FIELDS[[FIELD_ID]:[FIELD_VALUE_CLEAN]],10,FALSE)</calculatedColumnFormula>
    </tableColumn>
    <tableColumn id="32" xr3:uid="{00000000-0010-0000-0400-000020000000}" name="TB_OTHER_ATRISK_FLG" dataDxfId="79">
      <calculatedColumnFormula>VLOOKUP(AG1,DB_TBL_DATA_FIELDS[[FIELD_ID]:[FIELD_VALUE_CLEAN]],10,FALSE)</calculatedColumnFormula>
    </tableColumn>
    <tableColumn id="33" xr3:uid="{00000000-0010-0000-0400-000021000000}" name="TB_SENIORS_FLG" dataDxfId="78">
      <calculatedColumnFormula>VLOOKUP(AH1,DB_TBL_DATA_FIELDS[[FIELD_ID]:[FIELD_VALUE_CLEAN]],10,FALSE)</calculatedColumnFormula>
    </tableColumn>
    <tableColumn id="34" xr3:uid="{00000000-0010-0000-0400-000022000000}" name="TB_VETERANS_FLG" dataDxfId="77">
      <calculatedColumnFormula>VLOOKUP(AI1,DB_TBL_DATA_FIELDS[[FIELD_ID]:[FIELD_VALUE_CLEAN]],10,FALSE)</calculatedColumnFormula>
    </tableColumn>
    <tableColumn id="35" xr3:uid="{00000000-0010-0000-0400-000023000000}" name="TB_WOMEN_FLG" dataDxfId="76">
      <calculatedColumnFormula>VLOOKUP(AJ1,DB_TBL_DATA_FIELDS[[FIELD_ID]:[FIELD_VALUE_CLEAN]],10,FALSE)</calculatedColumnFormula>
    </tableColumn>
    <tableColumn id="36" xr3:uid="{00000000-0010-0000-0400-000024000000}" name="TB_OTHER_ATRISK_DESC" dataDxfId="75">
      <calculatedColumnFormula>VLOOKUP(AK1,DB_TBL_DATA_FIELDS[[FIELD_ID]:[FIELD_VALUE_CLEAN]],10,FALSE)</calculatedColumnFormula>
    </tableColumn>
    <tableColumn id="37" xr3:uid="{00000000-0010-0000-0400-000025000000}" name="TSA_FLG" dataDxfId="74">
      <calculatedColumnFormula>VLOOKUP(AL1,DB_TBL_DATA_FIELDS[[FIELD_ID]:[FIELD_VALUE_CLEAN]],10,FALSE)</calculatedColumnFormula>
    </tableColumn>
    <tableColumn id="38" xr3:uid="{00000000-0010-0000-0400-000026000000}" name="TSA_DESC" dataDxfId="73">
      <calculatedColumnFormula>VLOOKUP(AM1,DB_TBL_DATA_FIELDS[[FIELD_ID]:[FIELD_VALUE_CLEAN]],10,FALSE)</calculatedColumnFormula>
    </tableColumn>
    <tableColumn id="39" xr3:uid="{00000000-0010-0000-0400-000027000000}" name="HUD_EMPOWERMENT_FLG" dataDxfId="72">
      <calculatedColumnFormula>VLOOKUP(AN1,DB_TBL_DATA_FIELDS[[FIELD_ID]:[FIELD_VALUE_CLEAN]],10,FALSE)</calculatedColumnFormula>
    </tableColumn>
    <tableColumn id="40" xr3:uid="{00000000-0010-0000-0400-000028000000}" name="HUD_ENTERPRISE_FLG" dataDxfId="71">
      <calculatedColumnFormula>VLOOKUP(AO1,DB_TBL_DATA_FIELDS[[FIELD_ID]:[FIELD_VALUE_CLEAN]],10,FALSE)</calculatedColumnFormula>
    </tableColumn>
    <tableColumn id="41" xr3:uid="{00000000-0010-0000-0400-000029000000}" name="HUD_CHAMPION_FLG" dataDxfId="70">
      <calculatedColumnFormula>VLOOKUP(AP1,DB_TBL_DATA_FIELDS[[FIELD_ID]:[FIELD_VALUE_CLEAN]],10,FALSE)</calculatedColumnFormula>
    </tableColumn>
    <tableColumn id="42" xr3:uid="{00000000-0010-0000-0400-00002A000000}" name="USDA_EMPOWERMENT_FLG" dataDxfId="69">
      <calculatedColumnFormula>VLOOKUP(AQ1,DB_TBL_DATA_FIELDS[[FIELD_ID]:[FIELD_VALUE_CLEAN]],10,FALSE)</calculatedColumnFormula>
    </tableColumn>
    <tableColumn id="43" xr3:uid="{00000000-0010-0000-0400-00002B000000}" name="USDA_ENTERPRISE_FLG" dataDxfId="68">
      <calculatedColumnFormula>VLOOKUP(AR1,DB_TBL_DATA_FIELDS[[FIELD_ID]:[FIELD_VALUE_CLEAN]],10,FALSE)</calculatedColumnFormula>
    </tableColumn>
    <tableColumn id="44" xr3:uid="{00000000-0010-0000-0400-00002C000000}" name="USDA_CHAMPION_FLG" dataDxfId="67">
      <calculatedColumnFormula>VLOOKUP(AS1,DB_TBL_DATA_FIELDS[[FIELD_ID]:[FIELD_VALUE_CLEAN]],10,FALSE)</calculatedColumnFormula>
    </tableColumn>
    <tableColumn id="45" xr3:uid="{00000000-0010-0000-0400-00002D000000}" name="URBAN_NEIGHBORHOOD_FLG" dataDxfId="66">
      <calculatedColumnFormula>VLOOKUP(AT1,DB_TBL_DATA_FIELDS[[FIELD_ID]:[FIELD_VALUE_CLEAN]],10,FALSE)</calculatedColumnFormula>
    </tableColumn>
    <tableColumn id="46" xr3:uid="{00000000-0010-0000-0400-00002E000000}" name="RURAL_NEIGHBORHOOD_FLG" dataDxfId="65">
      <calculatedColumnFormula>VLOOKUP(AU1,DB_TBL_DATA_FIELDS[[FIELD_ID]:[FIELD_VALUE_CLEAN]],10,FALSE)</calculatedColumnFormula>
    </tableColumn>
    <tableColumn id="47" xr3:uid="{00000000-0010-0000-0400-00002F000000}" name="INDIAN_AREA_FLG" dataDxfId="64">
      <calculatedColumnFormula>VLOOKUP(AV1,DB_TBL_DATA_FIELDS[[FIELD_ID]:[FIELD_VALUE_CLEAN]],10,FALSE)</calculatedColumnFormula>
    </tableColumn>
    <tableColumn id="48" xr3:uid="{00000000-0010-0000-0400-000030000000}" name="PROJECT_RESULT" dataDxfId="63">
      <calculatedColumnFormula>VLOOKUP(AW1,DB_TBL_DATA_FIELDS[[FIELD_ID]:[FIELD_VALUE_CLEAN]],10,FALSE)</calculatedColumnFormula>
    </tableColumn>
    <tableColumn id="49" xr3:uid="{00000000-0010-0000-0400-000031000000}" name="OTHER_GRANT_FLG" dataDxfId="62">
      <calculatedColumnFormula>VLOOKUP(AX1,DB_TBL_DATA_FIELDS[[FIELD_ID]:[FIELD_VALUE_CLEAN]],10,FALSE)</calculatedColumnFormula>
    </tableColumn>
    <tableColumn id="50" xr3:uid="{00000000-0010-0000-0400-000032000000}" name="OTHER_GRANT_AMOUNT" dataDxfId="61">
      <calculatedColumnFormula>VLOOKUP(AY1,DB_TBL_DATA_FIELDS[[FIELD_ID]:[FIELD_VALUE_CLEAN]],10,FALSE)</calculatedColumnFormula>
    </tableColumn>
    <tableColumn id="51" xr3:uid="{00000000-0010-0000-0400-000033000000}" name="OTHER_LOAN_FLG" dataDxfId="60">
      <calculatedColumnFormula>VLOOKUP(AZ1,DB_TBL_DATA_FIELDS[[FIELD_ID]:[FIELD_VALUE_CLEAN]],10,FALSE)</calculatedColumnFormula>
    </tableColumn>
    <tableColumn id="52" xr3:uid="{00000000-0010-0000-0400-000034000000}" name="OTHER_LOAN_AMOUNT" dataDxfId="59">
      <calculatedColumnFormula>VLOOKUP(BA1,DB_TBL_DATA_FIELDS[[FIELD_ID]:[FIELD_VALUE_CLEAN]],10,FALSE)</calculatedColumnFormula>
    </tableColumn>
    <tableColumn id="53" xr3:uid="{00000000-0010-0000-0400-000035000000}" name="OTHER_NON_FIN_INVOL_FLG" dataDxfId="58">
      <calculatedColumnFormula>VLOOKUP(BB1,DB_TBL_DATA_FIELDS[[FIELD_ID]:[FIELD_VALUE_CLEAN]],10,FALSE)</calculatedColumnFormula>
    </tableColumn>
    <tableColumn id="54" xr3:uid="{00000000-0010-0000-0400-000036000000}" name="OTHER_NON_FIN_INVOL_DESC" dataDxfId="57">
      <calculatedColumnFormula>VLOOKUP(BC1,DB_TBL_DATA_FIELDS[[FIELD_ID]:[FIELD_VALUE_CLEAN]],10,FALSE)</calculatedColumnFormula>
    </tableColumn>
    <tableColumn id="56" xr3:uid="{00000000-0010-0000-0400-000038000000}" name="PROJECT_SUMMARY" dataDxfId="56">
      <calculatedColumnFormula>VLOOKUP(BD1,DB_TBL_DATA_FIELDS[[FIELD_ID]:[FIELD_VALUE_CLEAN]],10,FALSE)</calculatedColumnFormula>
    </tableColumn>
    <tableColumn id="55" xr3:uid="{00000000-0010-0000-0400-000037000000}" name="LEVERAGE_AMT" dataDxfId="55">
      <calculatedColumnFormula>VLOOKUP(BE1,DB_TBL_DATA_FIELDS[[FIELD_ID]:[FIELD_VALUE_CLEAN]],10,FALSE)</calculatedColumnFormula>
    </tableColumn>
    <tableColumn id="57" xr3:uid="{00000000-0010-0000-0400-000039000000}" name="TB_DISASTER_VICTIMS_FLG" dataDxfId="54">
      <calculatedColumnFormula>VLOOKUP(BF1,DB_TBL_DATA_FIELDS[[FIELD_ID]:[FIELD_VALUE_CLEAN]],10,FALSE)</calculatedColumnFormula>
    </tableColumn>
    <tableColumn id="58" xr3:uid="{00000000-0010-0000-0400-00003A000000}" name="TB_FORMERLY_INCAR_FLG" dataDxfId="53">
      <calculatedColumnFormula>VLOOKUP(BG1,DB_TBL_DATA_FIELDS[[FIELD_ID]:[FIELD_VALUE_CLEAN]],10,FALSE)</calculatedColumnFormula>
    </tableColumn>
    <tableColumn id="59" xr3:uid="{00000000-0010-0000-0400-00003B000000}" name="TB_DISABILITIES_FLG" dataDxfId="52">
      <calculatedColumnFormula>VLOOKUP(BH1,DB_TBL_DATA_FIELDS[[FIELD_ID]:[FIELD_VALUE_CLEAN]],10,FALSE)</calculatedColumnFormula>
    </tableColumn>
    <tableColumn id="60" xr3:uid="{999772C9-7FCC-4760-9907-F3AAD07F4170}" name="IMPACT_PANDEMIC_EXPLANATION" dataDxfId="51">
      <calculatedColumnFormula>VLOOKUP(BI1,DB_TBL_DATA_FIELDS[[FIELD_ID]:[FIELD_VALUE_CLEAN]],10,FALSE)</calculatedColumnFormula>
    </tableColumn>
    <tableColumn id="61" xr3:uid="{F8EFE2A0-D175-4940-BE73-F993D9D43FA4}" name="IMPACT_PANDEMIC_SERVED_ORG_NO" dataDxfId="50">
      <calculatedColumnFormula>VLOOKUP(BJ1,DB_TBL_DATA_FIELDS[[FIELD_ID]:[FIELD_VALUE_CLEAN]],10,FALSE)</calculatedColumnFormula>
    </tableColumn>
    <tableColumn id="62" xr3:uid="{799D9F72-0E97-434F-A425-55AFE7E7967C}" name="IMPACT_PANDEMIC_NEW_SERVED_ORG_NO" dataDxfId="49">
      <calculatedColumnFormula>VLOOKUP(BK1,DB_TBL_DATA_FIELDS[[FIELD_ID]:[FIELD_VALUE_CLEAN]],10,FALSE)</calculatedColumnFormula>
    </tableColumn>
    <tableColumn id="63" xr3:uid="{1B1CE0AB-4E61-41CA-A5F0-1DFFA38B4699}" name="TB_NATIVE_AMERICANS_FLG" dataDxfId="48">
      <calculatedColumnFormula>VLOOKUP(BL1,DB_TBL_DATA_FIELDS[[FIELD_ID]:[FIELD_VALUE_CLEAN]],10,FALSE)</calculatedColumnFormula>
    </tableColumn>
    <tableColumn id="64" xr3:uid="{D3E891C4-DDF3-4363-B04D-E172EEB20431}" name="FHLBSF_FINANCING_ACE_FLG" dataDxfId="47">
      <calculatedColumnFormula>VLOOKUP(BM1,DB_TBL_DATA_FIELDS[[FIELD_ID]:[FIELD_VALUE_CLEAN]],10,FALSE)</calculatedColumnFormula>
    </tableColumn>
    <tableColumn id="65" xr3:uid="{2E91C0E2-89EE-4CE1-B2ED-F5DC109425E8}" name="FHLBSF_FINANCING_AHP_FLG" dataDxfId="46">
      <calculatedColumnFormula>VLOOKUP(BN1,DB_TBL_DATA_FIELDS[[FIELD_ID]:[FIELD_VALUE_CLEAN]],10,FALSE)</calculatedColumnFormula>
    </tableColumn>
    <tableColumn id="66" xr3:uid="{54B2B2E6-E33C-4E60-ADA5-AFB84B73A10B}" name="FHLBSF_FINANCING_CIP_FLG" dataDxfId="45">
      <calculatedColumnFormula>VLOOKUP(BO1,DB_TBL_DATA_FIELDS[[FIELD_ID]:[FIELD_VALUE_CLEAN]],10,FALSE)</calculatedColumnFormula>
    </tableColumn>
    <tableColumn id="67" xr3:uid="{6A168973-195C-4E26-91EB-4F4381E49FDA}" name="FHLBSF_FINANCING_QJF_FLG" dataDxfId="44">
      <calculatedColumnFormula>VLOOKUP(BP1,DB_TBL_DATA_FIELDS[[FIELD_ID]:[FIELD_VALUE_CLEAN]],10,FALSE)</calculatedColumnFormula>
    </tableColumn>
    <tableColumn id="68" xr3:uid="{B2A67C34-D15C-49D5-BF50-17A4DEDE5958}" name="FHLBSF_FINANCING_DESCRIPTION" dataDxfId="43">
      <calculatedColumnFormula>VLOOKUP(BQ1,DB_TBL_DATA_FIELDS[[FIELD_ID]:[FIELD_VALUE_CLEAN]],10,FALSE)</calculatedColumnFormula>
    </tableColumn>
    <tableColumn id="69" xr3:uid="{5CBF6997-C55F-4D31-8A0B-3B8AE9C03575}" name="TB_BIPOC_FLG" dataDxfId="42">
      <calculatedColumnFormula>VLOOKUP(BR1,DB_TBL_DATA_FIELDS[[FIELD_ID]:[FIELD_VALUE_CLEAN]],10,FALSE)</calculatedColumnFormula>
    </tableColumn>
    <tableColumn id="70" xr3:uid="{E50E255D-A8E4-42EB-B726-4FBB5182776F}" name="TB_LGBTQ_FLG" dataDxfId="41">
      <calculatedColumnFormula>VLOOKUP(BS1,DB_TBL_DATA_FIELDS[[FIELD_ID]:[FIELD_VALUE_CLEAN]],10,FALSE)</calculatedColumnFormula>
    </tableColumn>
    <tableColumn id="71" xr3:uid="{012C7CE7-627F-4BCB-A8E3-D9A5DAA92775}" name="TB_UNHOUSED_FLG" dataDxfId="40">
      <calculatedColumnFormula>VLOOKUP(BT1,DB_TBL_DATA_FIELDS[[FIELD_ID]:[FIELD_VALUE_CLEAN]],10,FALSE)</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autoPageBreaks="0" fitToPage="1"/>
  </sheetPr>
  <dimension ref="A1:Y284"/>
  <sheetViews>
    <sheetView showGridLines="0" showRowColHeaders="0" tabSelected="1" topLeftCell="H1" zoomScaleNormal="100" zoomScaleSheetLayoutView="85" workbookViewId="0">
      <pane ySplit="4" topLeftCell="A150" activePane="bottomLeft" state="frozen"/>
      <selection activeCell="I28" sqref="I28:W28"/>
      <selection pane="bottomLeft" activeCell="H5" sqref="H5"/>
    </sheetView>
  </sheetViews>
  <sheetFormatPr defaultColWidth="0" defaultRowHeight="14" zeroHeight="1" x14ac:dyDescent="0.3"/>
  <cols>
    <col min="1" max="1" width="27.54296875" style="168" hidden="1" customWidth="1"/>
    <col min="2" max="2" width="15.7265625" style="169" hidden="1" customWidth="1"/>
    <col min="3" max="7" width="15.7265625" style="168" hidden="1" customWidth="1"/>
    <col min="8" max="8" width="2.453125" style="84" customWidth="1"/>
    <col min="9" max="9" width="10.7265625" style="84" customWidth="1"/>
    <col min="10" max="10" width="2.7265625" style="83" customWidth="1"/>
    <col min="11" max="11" width="10.7265625" style="84" customWidth="1"/>
    <col min="12" max="12" width="2.7265625" style="83" customWidth="1"/>
    <col min="13" max="13" width="10.7265625" style="84" customWidth="1"/>
    <col min="14" max="14" width="2.7265625" style="83" customWidth="1"/>
    <col min="15" max="15" width="10.7265625" style="84" customWidth="1"/>
    <col min="16" max="16" width="2.7265625" style="83" customWidth="1"/>
    <col min="17" max="17" width="10.7265625" style="84" customWidth="1"/>
    <col min="18" max="18" width="2.7265625" style="83" customWidth="1"/>
    <col min="19" max="19" width="10.7265625" style="84" customWidth="1"/>
    <col min="20" max="20" width="2.7265625" style="83" customWidth="1"/>
    <col min="21" max="21" width="10.7265625" style="84" customWidth="1"/>
    <col min="22" max="22" width="2.7265625" style="83" customWidth="1"/>
    <col min="23" max="23" width="10.7265625" style="84" customWidth="1"/>
    <col min="24" max="24" width="2.7265625" style="83" customWidth="1"/>
    <col min="25" max="25" width="2.453125" style="84" customWidth="1"/>
    <col min="26" max="16384" width="9.26953125" style="77" hidden="1"/>
  </cols>
  <sheetData>
    <row r="1" spans="1:25" ht="40.5" customHeight="1" thickBot="1" x14ac:dyDescent="0.35">
      <c r="A1" s="144" t="s">
        <v>216</v>
      </c>
      <c r="B1" s="145" t="s">
        <v>215</v>
      </c>
      <c r="C1" s="144" t="s">
        <v>212</v>
      </c>
      <c r="D1" s="144" t="s">
        <v>213</v>
      </c>
      <c r="E1" s="144" t="s">
        <v>210</v>
      </c>
      <c r="F1" s="144" t="s">
        <v>211</v>
      </c>
      <c r="G1" s="146" t="s">
        <v>214</v>
      </c>
      <c r="H1" s="112"/>
      <c r="I1" s="112"/>
      <c r="J1" s="113"/>
      <c r="K1" s="112"/>
      <c r="L1" s="113"/>
      <c r="M1" s="112"/>
      <c r="N1" s="113"/>
      <c r="O1" s="112"/>
      <c r="P1" s="113"/>
      <c r="Q1" s="112"/>
      <c r="R1" s="113"/>
      <c r="S1" s="112"/>
      <c r="T1" s="113"/>
      <c r="U1" s="112"/>
      <c r="V1" s="113"/>
      <c r="W1" s="112"/>
      <c r="X1" s="113"/>
      <c r="Y1" s="112"/>
    </row>
    <row r="2" spans="1:25" ht="3" customHeight="1" x14ac:dyDescent="0.3">
      <c r="A2" s="147"/>
      <c r="B2" s="148"/>
      <c r="C2" s="147"/>
      <c r="D2" s="147"/>
      <c r="E2" s="147"/>
      <c r="F2" s="147"/>
      <c r="G2" s="147"/>
      <c r="H2" s="86"/>
      <c r="I2" s="87"/>
      <c r="J2" s="87"/>
      <c r="K2" s="87"/>
      <c r="L2" s="87"/>
      <c r="M2" s="87"/>
      <c r="N2" s="87"/>
      <c r="O2" s="87"/>
      <c r="P2" s="88"/>
      <c r="Q2" s="88"/>
      <c r="R2" s="114"/>
      <c r="S2" s="106"/>
      <c r="T2" s="114"/>
      <c r="U2" s="114"/>
      <c r="V2" s="114"/>
      <c r="W2" s="114"/>
      <c r="X2" s="114"/>
      <c r="Y2" s="114"/>
    </row>
    <row r="3" spans="1:25" ht="15" customHeight="1" x14ac:dyDescent="0.3">
      <c r="A3" s="147"/>
      <c r="B3" s="148"/>
      <c r="C3" s="147"/>
      <c r="D3" s="147"/>
      <c r="E3" s="147"/>
      <c r="F3" s="147"/>
      <c r="G3" s="147"/>
      <c r="H3" s="115"/>
      <c r="I3" s="87" t="str">
        <f ca="1">(TRIM(LEFT($B$8,65))&amp;IF(LEN(TRIM($B$8))&gt;65,"…",""))</f>
        <v/>
      </c>
      <c r="J3" s="87"/>
      <c r="K3" s="87"/>
      <c r="L3" s="87"/>
      <c r="M3" s="87"/>
      <c r="N3" s="87"/>
      <c r="O3" s="87"/>
      <c r="P3" s="88"/>
      <c r="Q3" s="88"/>
      <c r="R3" s="88"/>
      <c r="S3" s="115"/>
      <c r="T3" s="115"/>
      <c r="U3" s="115"/>
      <c r="V3" s="141" t="s">
        <v>2205</v>
      </c>
      <c r="W3" s="78">
        <f ca="1">VLOOKUP("APP_PROGRESS_PCT_COMPLETE",DB_TBL_DATA_FIELDS[[FIELD_ID]:[FIELD_VALUE_CLEAN]],10,FALSE)</f>
        <v>0</v>
      </c>
      <c r="X3" s="89" t="str">
        <f ca="1">IF(B13&gt;0,0,IF(B9&gt;0,1,IF(W3=1,2,"")))</f>
        <v/>
      </c>
      <c r="Y3" s="115"/>
    </row>
    <row r="4" spans="1:25" ht="3" customHeight="1" x14ac:dyDescent="0.3">
      <c r="A4" s="147"/>
      <c r="B4" s="148"/>
      <c r="C4" s="147"/>
      <c r="D4" s="147"/>
      <c r="E4" s="147"/>
      <c r="F4" s="147"/>
      <c r="G4" s="147"/>
      <c r="H4" s="117"/>
      <c r="I4" s="90"/>
      <c r="J4" s="90"/>
      <c r="K4" s="90"/>
      <c r="L4" s="90"/>
      <c r="M4" s="90"/>
      <c r="N4" s="90"/>
      <c r="O4" s="90"/>
      <c r="P4" s="91"/>
      <c r="Q4" s="91"/>
      <c r="R4" s="116"/>
      <c r="S4" s="117"/>
      <c r="T4" s="116"/>
      <c r="U4" s="117"/>
      <c r="V4" s="116"/>
      <c r="W4" s="117"/>
      <c r="X4" s="116"/>
      <c r="Y4" s="117"/>
    </row>
    <row r="5" spans="1:25" ht="4.1500000000000004" customHeight="1" x14ac:dyDescent="0.3">
      <c r="A5" s="147"/>
      <c r="B5" s="148"/>
      <c r="C5" s="147"/>
      <c r="D5" s="147"/>
      <c r="E5" s="147"/>
      <c r="F5" s="147"/>
      <c r="G5" s="147"/>
      <c r="H5" s="119"/>
      <c r="I5" s="92"/>
      <c r="J5" s="92"/>
      <c r="K5" s="92"/>
      <c r="L5" s="92"/>
      <c r="M5" s="92"/>
      <c r="N5" s="92"/>
      <c r="O5" s="92"/>
      <c r="P5" s="93"/>
      <c r="Q5" s="93"/>
      <c r="R5" s="79"/>
      <c r="S5" s="118"/>
      <c r="T5" s="79"/>
      <c r="U5" s="118"/>
      <c r="V5" s="79"/>
      <c r="W5" s="118"/>
      <c r="X5" s="79"/>
      <c r="Y5" s="118"/>
    </row>
    <row r="6" spans="1:25" ht="18" customHeight="1" x14ac:dyDescent="0.3">
      <c r="A6" s="149" t="s">
        <v>33</v>
      </c>
      <c r="B6" s="150" t="s">
        <v>2364</v>
      </c>
      <c r="C6" s="149"/>
      <c r="D6" s="149"/>
      <c r="E6" s="149"/>
      <c r="F6" s="149"/>
      <c r="G6" s="149"/>
      <c r="H6" s="94" t="str">
        <f ca="1">B11</f>
        <v/>
      </c>
      <c r="I6" s="392" t="str">
        <f ca="1">B12</f>
        <v/>
      </c>
      <c r="J6" s="393"/>
      <c r="K6" s="393"/>
      <c r="L6" s="393"/>
      <c r="M6" s="393"/>
      <c r="N6" s="393"/>
      <c r="O6" s="393"/>
      <c r="P6" s="393"/>
      <c r="Q6" s="393"/>
      <c r="R6" s="393"/>
      <c r="S6" s="393"/>
      <c r="T6" s="393"/>
      <c r="U6" s="393"/>
      <c r="V6" s="393"/>
      <c r="W6" s="393"/>
      <c r="X6" s="393"/>
      <c r="Y6" s="393"/>
    </row>
    <row r="7" spans="1:25" ht="4.1500000000000004" customHeight="1" x14ac:dyDescent="0.3">
      <c r="A7" s="149" t="s">
        <v>2365</v>
      </c>
      <c r="B7" s="150" t="str">
        <f>"AHEAD Program ("&amp;CONFIG_AHEAD_ROUND&amp;")"</f>
        <v>AHEAD Program (2026)</v>
      </c>
      <c r="C7" s="149"/>
      <c r="D7" s="149"/>
      <c r="E7" s="149"/>
      <c r="F7" s="149"/>
      <c r="G7" s="149"/>
      <c r="H7" s="94"/>
      <c r="I7" s="94"/>
      <c r="J7" s="94"/>
      <c r="K7" s="94"/>
      <c r="L7" s="94"/>
      <c r="M7" s="94"/>
      <c r="N7" s="94"/>
      <c r="O7" s="94"/>
      <c r="P7" s="94"/>
      <c r="Q7" s="94"/>
      <c r="R7" s="94"/>
      <c r="S7" s="94"/>
      <c r="T7" s="94"/>
      <c r="U7" s="94"/>
      <c r="V7" s="94"/>
      <c r="W7" s="94"/>
      <c r="X7" s="94"/>
      <c r="Y7" s="94"/>
    </row>
    <row r="8" spans="1:25" ht="22.15" customHeight="1" x14ac:dyDescent="0.3">
      <c r="A8" s="149" t="s">
        <v>37</v>
      </c>
      <c r="B8" s="150" t="str">
        <f ca="1">IF(VLOOKUP("PROJ_NAME",DB_TBL_DATA_FIELDS[[#All],[FIELD_ID]:[FIELD_VALUE_CLEAN]],10,FALSE)="","",VLOOKUP("PROJ_NAME",DB_TBL_DATA_FIELDS[[#All],[FIELD_ID]:[FIELD_VALUE_CLEAN]],10,FALSE))</f>
        <v/>
      </c>
      <c r="C8" s="151"/>
      <c r="D8" s="151"/>
      <c r="E8" s="149"/>
      <c r="F8" s="149"/>
      <c r="G8" s="149"/>
      <c r="H8" s="94"/>
      <c r="I8" s="335" t="str">
        <f>CONFIG_APP_INSTRUCTIONS_TITLE</f>
        <v>Application Deadline: 5:00 p.m. PDT, Wednesday, May 27, 2026</v>
      </c>
      <c r="J8" s="335"/>
      <c r="K8" s="335"/>
      <c r="L8" s="335"/>
      <c r="M8" s="335"/>
      <c r="N8" s="335"/>
      <c r="O8" s="335"/>
      <c r="P8" s="335"/>
      <c r="Q8" s="335"/>
      <c r="R8" s="335"/>
      <c r="S8" s="335"/>
      <c r="T8" s="335"/>
      <c r="U8" s="335"/>
      <c r="V8" s="335"/>
      <c r="W8" s="335"/>
      <c r="X8" s="335"/>
      <c r="Y8" s="94"/>
    </row>
    <row r="9" spans="1:25" s="80" customFormat="1" ht="22.15" customHeight="1" x14ac:dyDescent="0.25">
      <c r="A9" s="151" t="s">
        <v>2223</v>
      </c>
      <c r="B9" s="152">
        <f ca="1">SUMIF(C:C,"WARNING_COUNT",B:B)</f>
        <v>0</v>
      </c>
      <c r="C9" s="151"/>
      <c r="D9" s="151"/>
      <c r="E9" s="151"/>
      <c r="F9" s="151"/>
      <c r="G9" s="151"/>
      <c r="H9" s="138"/>
      <c r="I9" s="336" t="str">
        <f>CONFIG_APP_INSTRUCTIONS_BODY</f>
        <v>The application and budget, including all attachments, must be submitted by Members to the Bank via the secure portal no later than 5:00 p.m. PDT on Wednesday May 27, 2026. Failure to submit the application and all of the attachments by the application deadline will result in the application being deemed ineligible.
For more information regarding the preparation or submission of an AHEAD application, see the AHEAD Reference Guide at fhlbsf.com, contact the Community Investment Department at (415) 616-2542, or email ahead@fhlbsf.com.</v>
      </c>
      <c r="J9" s="336"/>
      <c r="K9" s="336"/>
      <c r="L9" s="336"/>
      <c r="M9" s="336"/>
      <c r="N9" s="336"/>
      <c r="O9" s="336"/>
      <c r="P9" s="336"/>
      <c r="Q9" s="336"/>
      <c r="R9" s="336"/>
      <c r="S9" s="336"/>
      <c r="T9" s="336"/>
      <c r="U9" s="336"/>
      <c r="V9" s="336"/>
      <c r="W9" s="336"/>
      <c r="X9" s="336"/>
      <c r="Y9" s="118"/>
    </row>
    <row r="10" spans="1:25" s="80" customFormat="1" ht="22.15" customHeight="1" x14ac:dyDescent="0.25">
      <c r="A10" s="151" t="s">
        <v>2224</v>
      </c>
      <c r="B10" s="152" t="b">
        <f ca="1">B9&gt;0</f>
        <v>0</v>
      </c>
      <c r="C10" s="151"/>
      <c r="D10" s="151"/>
      <c r="E10" s="151"/>
      <c r="F10" s="151"/>
      <c r="G10" s="151"/>
      <c r="H10" s="118"/>
      <c r="I10" s="337"/>
      <c r="J10" s="337"/>
      <c r="K10" s="337"/>
      <c r="L10" s="337"/>
      <c r="M10" s="337"/>
      <c r="N10" s="337"/>
      <c r="O10" s="337"/>
      <c r="P10" s="337"/>
      <c r="Q10" s="337"/>
      <c r="R10" s="337"/>
      <c r="S10" s="337"/>
      <c r="T10" s="337"/>
      <c r="U10" s="337"/>
      <c r="V10" s="337"/>
      <c r="W10" s="337"/>
      <c r="X10" s="337"/>
      <c r="Y10" s="118"/>
    </row>
    <row r="11" spans="1:25" s="80" customFormat="1" ht="22.15" customHeight="1" x14ac:dyDescent="0.25">
      <c r="A11" s="151" t="s">
        <v>2225</v>
      </c>
      <c r="B11" s="152" t="str">
        <f ca="1">IF(B10,1,"")</f>
        <v/>
      </c>
      <c r="C11" s="151"/>
      <c r="D11" s="151"/>
      <c r="E11" s="151"/>
      <c r="F11" s="151"/>
      <c r="G11" s="151"/>
      <c r="H11" s="118"/>
      <c r="I11" s="337"/>
      <c r="J11" s="337"/>
      <c r="K11" s="337"/>
      <c r="L11" s="337"/>
      <c r="M11" s="337"/>
      <c r="N11" s="337"/>
      <c r="O11" s="337"/>
      <c r="P11" s="337"/>
      <c r="Q11" s="337"/>
      <c r="R11" s="337"/>
      <c r="S11" s="337"/>
      <c r="T11" s="337"/>
      <c r="U11" s="337"/>
      <c r="V11" s="337"/>
      <c r="W11" s="337"/>
      <c r="X11" s="337"/>
      <c r="Y11" s="118"/>
    </row>
    <row r="12" spans="1:25" s="80" customFormat="1" ht="22.15" customHeight="1" x14ac:dyDescent="0.25">
      <c r="A12" s="151" t="s">
        <v>2226</v>
      </c>
      <c r="B12" s="150" t="str">
        <f ca="1">IF(B10,B9&amp;" "&amp;'$DB.CONFIG'!$M$3,"")</f>
        <v/>
      </c>
      <c r="C12" s="151"/>
      <c r="D12" s="151"/>
      <c r="E12" s="151"/>
      <c r="F12" s="151"/>
      <c r="G12" s="151"/>
      <c r="H12" s="118"/>
      <c r="I12" s="337"/>
      <c r="J12" s="337"/>
      <c r="K12" s="337"/>
      <c r="L12" s="337"/>
      <c r="M12" s="337"/>
      <c r="N12" s="337"/>
      <c r="O12" s="337"/>
      <c r="P12" s="337"/>
      <c r="Q12" s="337"/>
      <c r="R12" s="337"/>
      <c r="S12" s="337"/>
      <c r="T12" s="337"/>
      <c r="U12" s="337"/>
      <c r="V12" s="337"/>
      <c r="W12" s="337"/>
      <c r="X12" s="337"/>
      <c r="Y12" s="118"/>
    </row>
    <row r="13" spans="1:25" s="80" customFormat="1" ht="18" customHeight="1" x14ac:dyDescent="0.25">
      <c r="A13" s="151" t="s">
        <v>2299</v>
      </c>
      <c r="B13" s="152">
        <f ca="1">SUMIF(C:C,"ERROR_COUNT",B:B)</f>
        <v>0</v>
      </c>
      <c r="C13" s="151"/>
      <c r="D13" s="151"/>
      <c r="E13" s="151"/>
      <c r="F13" s="151"/>
      <c r="G13" s="151"/>
      <c r="H13" s="118"/>
      <c r="I13" s="337"/>
      <c r="J13" s="337"/>
      <c r="K13" s="337"/>
      <c r="L13" s="337"/>
      <c r="M13" s="337"/>
      <c r="N13" s="337"/>
      <c r="O13" s="337"/>
      <c r="P13" s="337"/>
      <c r="Q13" s="337"/>
      <c r="R13" s="337"/>
      <c r="S13" s="337"/>
      <c r="T13" s="337"/>
      <c r="U13" s="337"/>
      <c r="V13" s="337"/>
      <c r="W13" s="337"/>
      <c r="X13" s="337"/>
      <c r="Y13" s="118"/>
    </row>
    <row r="14" spans="1:25" s="80" customFormat="1" ht="22.15" customHeight="1" x14ac:dyDescent="0.25">
      <c r="A14" s="153" t="s">
        <v>2316</v>
      </c>
      <c r="B14" s="154">
        <f>ROW(H20)</f>
        <v>20</v>
      </c>
      <c r="C14" s="151"/>
      <c r="D14" s="151"/>
      <c r="E14" s="151"/>
      <c r="F14" s="151"/>
      <c r="G14" s="151"/>
      <c r="H14" s="118"/>
      <c r="I14" s="335" t="s">
        <v>2732</v>
      </c>
      <c r="J14" s="335"/>
      <c r="K14" s="335"/>
      <c r="L14" s="335"/>
      <c r="M14" s="335"/>
      <c r="N14" s="335"/>
      <c r="O14" s="335"/>
      <c r="P14" s="335"/>
      <c r="Q14" s="335"/>
      <c r="R14" s="335"/>
      <c r="S14" s="335"/>
      <c r="T14" s="335"/>
      <c r="U14" s="335"/>
      <c r="V14" s="335"/>
      <c r="W14" s="335"/>
      <c r="X14" s="335"/>
      <c r="Y14" s="118"/>
    </row>
    <row r="15" spans="1:25" s="80" customFormat="1" ht="6.75" customHeight="1" x14ac:dyDescent="0.25">
      <c r="A15" s="153" t="s">
        <v>2317</v>
      </c>
      <c r="B15" s="154">
        <f>ROW(H23)</f>
        <v>23</v>
      </c>
      <c r="C15" s="151"/>
      <c r="D15" s="151"/>
      <c r="E15" s="151"/>
      <c r="F15" s="151"/>
      <c r="G15" s="151"/>
      <c r="H15" s="118"/>
      <c r="Y15" s="118"/>
    </row>
    <row r="16" spans="1:25" s="80" customFormat="1" ht="22.15" customHeight="1" x14ac:dyDescent="0.25">
      <c r="A16" s="153" t="s">
        <v>2318</v>
      </c>
      <c r="B16" s="154">
        <f>B15-B14+1</f>
        <v>4</v>
      </c>
      <c r="C16" s="151"/>
      <c r="D16" s="151"/>
      <c r="E16" s="151"/>
      <c r="F16" s="151"/>
      <c r="G16" s="151"/>
      <c r="H16" s="118"/>
      <c r="I16" s="95" t="s">
        <v>25</v>
      </c>
      <c r="J16" s="96">
        <f>1</f>
        <v>1</v>
      </c>
      <c r="K16" s="97"/>
      <c r="L16" s="97"/>
      <c r="M16" s="95" t="s">
        <v>2320</v>
      </c>
      <c r="N16" s="96">
        <f>2</f>
        <v>2</v>
      </c>
      <c r="O16" s="120"/>
      <c r="P16" s="120"/>
      <c r="Q16" s="95" t="s">
        <v>2321</v>
      </c>
      <c r="R16" s="96">
        <f>0</f>
        <v>0</v>
      </c>
      <c r="S16" s="120"/>
      <c r="T16" s="120"/>
      <c r="U16" s="406" t="s">
        <v>2322</v>
      </c>
      <c r="V16" s="407"/>
      <c r="W16" s="407"/>
      <c r="X16" s="408"/>
    </row>
    <row r="17" spans="1:25" s="80" customFormat="1" ht="22.15" customHeight="1" x14ac:dyDescent="0.25">
      <c r="A17" s="151"/>
      <c r="B17" s="151"/>
      <c r="C17" s="151"/>
      <c r="D17" s="151"/>
      <c r="E17" s="151"/>
      <c r="F17" s="151"/>
      <c r="G17" s="151"/>
      <c r="H17" s="118"/>
      <c r="I17" s="118"/>
      <c r="J17" s="79"/>
      <c r="K17" s="118"/>
      <c r="L17" s="79"/>
      <c r="M17" s="118"/>
      <c r="N17" s="79"/>
      <c r="O17" s="118"/>
      <c r="P17" s="79"/>
      <c r="Q17" s="118"/>
      <c r="R17" s="79"/>
      <c r="S17" s="118"/>
      <c r="T17" s="79"/>
      <c r="U17" s="118"/>
      <c r="V17" s="79"/>
      <c r="W17" s="118"/>
      <c r="X17" s="79"/>
      <c r="Y17" s="118"/>
    </row>
    <row r="18" spans="1:25" s="80" customFormat="1" ht="22.15" customHeight="1" thickBot="1" x14ac:dyDescent="0.4">
      <c r="A18" s="155" t="s">
        <v>124</v>
      </c>
      <c r="B18" s="170" t="s">
        <v>2662</v>
      </c>
      <c r="C18" s="156"/>
      <c r="D18" s="157"/>
      <c r="E18" s="157"/>
      <c r="F18" s="157"/>
      <c r="G18" s="104" t="s">
        <v>2662</v>
      </c>
      <c r="H18" s="122"/>
      <c r="I18" s="81" t="s">
        <v>241</v>
      </c>
      <c r="J18" s="140"/>
      <c r="K18" s="140"/>
      <c r="L18" s="140"/>
      <c r="M18" s="140"/>
      <c r="N18" s="140"/>
      <c r="O18" s="140"/>
      <c r="P18" s="140"/>
      <c r="Q18" s="140"/>
      <c r="R18" s="140"/>
      <c r="S18" s="140"/>
      <c r="T18" s="140"/>
      <c r="U18" s="140"/>
      <c r="V18" s="140"/>
      <c r="W18" s="140"/>
      <c r="X18" s="98"/>
      <c r="Y18" s="122"/>
    </row>
    <row r="19" spans="1:25" s="80" customFormat="1" ht="22.15" customHeight="1" x14ac:dyDescent="0.35">
      <c r="A19" s="143" t="s">
        <v>38</v>
      </c>
      <c r="B19" s="158" t="str">
        <f>IF(I28=0,"",I28)</f>
        <v/>
      </c>
      <c r="C19" s="151">
        <f ca="1">VLOOKUP(A19,DB_TBL_DATA_FIELDS[[FIELD_ID]:[PCT_CALC_FIELD_STATUS_CODE]],22,FALSE)</f>
        <v>1</v>
      </c>
      <c r="D19" s="151" t="str">
        <f>IF(VLOOKUP(A19,DB_TBL_DATA_FIELDS[[FIELD_ID]:[ERROR_MESSAGE]],23,FALSE)&lt;&gt;0,VLOOKUP(A19,DB_TBL_DATA_FIELDS[[FIELD_ID]:[ERROR_MESSAGE]],23,FALSE),"")</f>
        <v/>
      </c>
      <c r="E19" s="151">
        <f>VLOOKUP(A19,DB_TBL_DATA_FIELDS[[#All],[FIELD_ID]:[RANGE_VALIDATION_MAX]],18,FALSE)</f>
        <v>0</v>
      </c>
      <c r="F19" s="151">
        <f>VLOOKUP(A19,DB_TBL_DATA_FIELDS[[#All],[FIELD_ID]:[RANGE_VALIDATION_MAX]],19,FALSE)</f>
        <v>60</v>
      </c>
      <c r="G19" s="151">
        <f ca="1">IF(C19&lt;0,"",C19)</f>
        <v>1</v>
      </c>
      <c r="H19" s="139"/>
      <c r="I19" s="300" t="s">
        <v>2733</v>
      </c>
      <c r="J19" s="82"/>
      <c r="K19" s="82"/>
      <c r="L19" s="82"/>
      <c r="M19" s="82"/>
      <c r="N19" s="82"/>
      <c r="O19" s="99" t="s">
        <v>2734</v>
      </c>
      <c r="P19" s="121"/>
      <c r="Q19" s="300" t="s">
        <v>2733</v>
      </c>
      <c r="R19" s="82"/>
      <c r="S19" s="82"/>
      <c r="T19" s="82"/>
      <c r="U19" s="82"/>
      <c r="V19" s="82"/>
      <c r="W19" s="99" t="s">
        <v>2734</v>
      </c>
      <c r="X19" s="82"/>
      <c r="Y19" s="122"/>
    </row>
    <row r="20" spans="1:25" s="80" customFormat="1" ht="22.15" customHeight="1" x14ac:dyDescent="0.35">
      <c r="A20" s="143" t="s">
        <v>138</v>
      </c>
      <c r="B20" s="158" t="str">
        <f>IF(I30=0,"",I30)</f>
        <v/>
      </c>
      <c r="C20" s="151">
        <f ca="1">VLOOKUP(A20,DB_TBL_DATA_FIELDS[[FIELD_ID]:[PCT_CALC_FIELD_STATUS_CODE]],22,FALSE)</f>
        <v>1</v>
      </c>
      <c r="D20" s="151" t="str">
        <f>IF(VLOOKUP(A20,DB_TBL_DATA_FIELDS[[FIELD_ID]:[ERROR_MESSAGE]],23,FALSE)&lt;&gt;0,VLOOKUP(A20,DB_TBL_DATA_FIELDS[[FIELD_ID]:[ERROR_MESSAGE]],23,FALSE),"")</f>
        <v/>
      </c>
      <c r="E20" s="151">
        <f>VLOOKUP(A20,DB_TBL_DATA_FIELDS[[#All],[FIELD_ID]:[RANGE_VALIDATION_MAX]],18,FALSE)</f>
        <v>0</v>
      </c>
      <c r="F20" s="151">
        <f>VLOOKUP(A20,DB_TBL_DATA_FIELDS[[#All],[FIELD_ID]:[RANGE_VALIDATION_MAX]],19,FALSE)</f>
        <v>250</v>
      </c>
      <c r="G20" s="151">
        <f t="shared" ref="G20:G24" ca="1" si="0">IF(C20&lt;0,"",C20)</f>
        <v>1</v>
      </c>
      <c r="H20" s="122"/>
      <c r="I20" s="402" t="str">
        <f>ROMAN(ROW()-$B$14+1)&amp;".     "&amp;IFERROR(VLOOKUP("SECTION_"&amp;(ROW()-$B$14+1)&amp;"_TOC_LABEL",A:B,2,FALSE),"")</f>
        <v>I.     Project Information</v>
      </c>
      <c r="J20" s="403"/>
      <c r="K20" s="403"/>
      <c r="L20" s="403"/>
      <c r="M20" s="403"/>
      <c r="N20" s="94" t="str">
        <f>IF(IFERROR(VLOOKUP("SECTION_"&amp;(ROW()-$B$14+1)&amp;"_WARNING_FLAG",A:B,2,FALSE),FALSE),1,"")</f>
        <v/>
      </c>
      <c r="O20" s="100" t="str">
        <f ca="1">IFERROR(VLOOKUP("SECTION_"&amp;(ROW()-$B$14+1)&amp;"_STATUS_TEXT",A:B,2,FALSE),"")</f>
        <v>Not Started</v>
      </c>
      <c r="P20" s="101" t="str">
        <f ca="1">IFERROR(VLOOKUP("SECTION_"&amp;(ROW()-$B$14+1)&amp;"_STATUS_CODE",A:B,2,FALSE),"")</f>
        <v/>
      </c>
      <c r="Q20" s="372" t="str">
        <f>ROMAN(ROW()-$B$14+$B$16+1)&amp;".     "&amp;IFERROR(VLOOKUP("SECTION_"&amp;(ROW()-$B$14+1+$B$16)&amp;"_TOC_LABEL",A:B,2,FALSE),"")</f>
        <v>V.     Project Summary</v>
      </c>
      <c r="R20" s="373"/>
      <c r="S20" s="373"/>
      <c r="T20" s="373"/>
      <c r="U20" s="373"/>
      <c r="V20" s="94" t="str">
        <f>IF(IFERROR(VLOOKUP("SECTION_"&amp;(ROW()-$B$14+1+$B$16)&amp;"_WARNING_FLAG",A:B,2,FALSE),FALSE),1,"")</f>
        <v/>
      </c>
      <c r="W20" s="102" t="str">
        <f ca="1">IFERROR(VLOOKUP("SECTION_"&amp;(ROW()-$B$14+1+$B$16)&amp;"_STATUS_TEXT",A:B,2,FALSE),"")</f>
        <v>Not Started</v>
      </c>
      <c r="X20" s="94" t="str">
        <f ca="1">IFERROR(VLOOKUP("SECTION_"&amp;(ROW()-$B$14+1+$B$16)&amp;"_STATUS_CODE",A:B,2,FALSE),"")</f>
        <v/>
      </c>
      <c r="Y20" s="122"/>
    </row>
    <row r="21" spans="1:25" s="80" customFormat="1" ht="22.15" customHeight="1" x14ac:dyDescent="0.35">
      <c r="A21" s="143" t="s">
        <v>139</v>
      </c>
      <c r="B21" s="158" t="str">
        <f>IF(O30=0,"",O30)</f>
        <v/>
      </c>
      <c r="C21" s="151">
        <f ca="1">VLOOKUP(A21,DB_TBL_DATA_FIELDS[[FIELD_ID]:[PCT_CALC_FIELD_STATUS_CODE]],22,FALSE)</f>
        <v>1</v>
      </c>
      <c r="D21" s="151" t="str">
        <f>IF(VLOOKUP(A21,DB_TBL_DATA_FIELDS[[FIELD_ID]:[ERROR_MESSAGE]],23,FALSE)&lt;&gt;0,VLOOKUP(A21,DB_TBL_DATA_FIELDS[[FIELD_ID]:[ERROR_MESSAGE]],23,FALSE),"")</f>
        <v/>
      </c>
      <c r="E21" s="151">
        <f>VLOOKUP(A21,DB_TBL_DATA_FIELDS[[#All],[FIELD_ID]:[RANGE_VALIDATION_MAX]],18,FALSE)</f>
        <v>0</v>
      </c>
      <c r="F21" s="151">
        <f>VLOOKUP(A21,DB_TBL_DATA_FIELDS[[#All],[FIELD_ID]:[RANGE_VALIDATION_MAX]],19,FALSE)</f>
        <v>250</v>
      </c>
      <c r="G21" s="151">
        <f t="shared" ca="1" si="0"/>
        <v>1</v>
      </c>
      <c r="H21" s="122"/>
      <c r="I21" s="402" t="str">
        <f>ROMAN(ROW()-$B$14+1)&amp;".     "&amp;IFERROR(VLOOKUP("SECTION_"&amp;(ROW()-$B$14+1)&amp;"_TOC_LABEL",A:B,2,FALSE),"")</f>
        <v>II.     Member Information</v>
      </c>
      <c r="J21" s="402"/>
      <c r="K21" s="402"/>
      <c r="L21" s="402"/>
      <c r="M21" s="402"/>
      <c r="N21" s="94" t="str">
        <f>IF(IFERROR(VLOOKUP("SECTION_"&amp;(ROW()-$B$14+1)&amp;"_WARNING_FLAG",A:B,2,FALSE),FALSE),1,"")</f>
        <v/>
      </c>
      <c r="O21" s="100" t="str">
        <f ca="1">IFERROR(VLOOKUP("SECTION_"&amp;(ROW()-$B$14+1)&amp;"_STATUS_TEXT",A:B,2,FALSE),"")</f>
        <v>Not Started</v>
      </c>
      <c r="P21" s="103" t="str">
        <f ca="1">IFERROR(VLOOKUP("SECTION_"&amp;(ROW()-$B$14+1)&amp;"_STATUS_CODE",A:B,2,FALSE),"")</f>
        <v/>
      </c>
      <c r="Q21" s="372" t="str">
        <f>ROMAN(ROW()-$B$14+$B$16+1)&amp;".     "&amp;IFERROR(VLOOKUP("SECTION_"&amp;(ROW()-$B$14+1+$B$16)&amp;"_TOC_LABEL",A:B,2,FALSE),"")</f>
        <v>VI.     Project Use of Funds</v>
      </c>
      <c r="R21" s="373"/>
      <c r="S21" s="373"/>
      <c r="T21" s="373"/>
      <c r="U21" s="373"/>
      <c r="V21" s="94" t="str">
        <f>IF(IFERROR(VLOOKUP("SECTION_"&amp;(ROW()-$B$14+1+$B$16)&amp;"_WARNING_FLAG",A:B,2,FALSE),FALSE),1,"")</f>
        <v/>
      </c>
      <c r="W21" s="102" t="str">
        <f ca="1">IFERROR(VLOOKUP("SECTION_"&amp;(ROW()-$B$14+1+$B$16)&amp;"_STATUS_TEXT",A:B,2,FALSE),"")</f>
        <v>Not Started</v>
      </c>
      <c r="X21" s="94" t="str">
        <f ca="1">IFERROR(VLOOKUP("SECTION_"&amp;(ROW()-$B$14+1+$B$16)&amp;"_STATUS_CODE",A:B,2,FALSE),"")</f>
        <v/>
      </c>
      <c r="Y21" s="122"/>
    </row>
    <row r="22" spans="1:25" s="80" customFormat="1" ht="22.15" customHeight="1" x14ac:dyDescent="0.35">
      <c r="A22" s="143" t="s">
        <v>140</v>
      </c>
      <c r="B22" s="158" t="str">
        <f>IF(S30=0,"",S30)</f>
        <v/>
      </c>
      <c r="C22" s="151">
        <f ca="1">VLOOKUP(A22,DB_TBL_DATA_FIELDS[[FIELD_ID]:[PCT_CALC_FIELD_STATUS_CODE]],22,FALSE)</f>
        <v>1</v>
      </c>
      <c r="D22" s="151" t="str">
        <f>IF(VLOOKUP(A22,DB_TBL_DATA_FIELDS[[FIELD_ID]:[ERROR_MESSAGE]],23,FALSE)&lt;&gt;0,VLOOKUP(A22,DB_TBL_DATA_FIELDS[[FIELD_ID]:[ERROR_MESSAGE]],23,FALSE),"")</f>
        <v/>
      </c>
      <c r="E22" s="151">
        <f>VLOOKUP(A22,DB_TBL_DATA_FIELDS[[#All],[FIELD_ID]:[RANGE_VALIDATION_MAX]],18,FALSE)</f>
        <v>2</v>
      </c>
      <c r="F22" s="151">
        <f>VLOOKUP(A22,DB_TBL_DATA_FIELDS[[#All],[FIELD_ID]:[RANGE_VALIDATION_MAX]],19,FALSE)</f>
        <v>2</v>
      </c>
      <c r="G22" s="151">
        <f t="shared" ca="1" si="0"/>
        <v>1</v>
      </c>
      <c r="H22" s="122"/>
      <c r="I22" s="402" t="str">
        <f>ROMAN(ROW()-$B$14+1)&amp;".     "&amp;IFERROR(VLOOKUP("SECTION_"&amp;(ROW()-$B$14+1)&amp;"_TOC_LABEL",A:B,2,FALSE),"")</f>
        <v>III.     Sponsor Information</v>
      </c>
      <c r="J22" s="403"/>
      <c r="K22" s="403"/>
      <c r="L22" s="403"/>
      <c r="M22" s="403"/>
      <c r="N22" s="94" t="str">
        <f>IF(IFERROR(VLOOKUP("SECTION_"&amp;(ROW()-$B$14+1)&amp;"_WARNING_FLAG",A:B,2,FALSE),FALSE),1,"")</f>
        <v/>
      </c>
      <c r="O22" s="100" t="str">
        <f ca="1">IFERROR(VLOOKUP("SECTION_"&amp;(ROW()-$B$14+1)&amp;"_STATUS_TEXT",A:B,2,FALSE),"")</f>
        <v>Not Started</v>
      </c>
      <c r="P22" s="103" t="str">
        <f ca="1">IFERROR(VLOOKUP("SECTION_"&amp;(ROW()-$B$14+1)&amp;"_STATUS_CODE",A:B,2,FALSE),"")</f>
        <v/>
      </c>
      <c r="Q22" s="372" t="str">
        <f>ROMAN(ROW()-$B$14+$B$16+1)&amp;".     "&amp;IFERROR(VLOOKUP("SECTION_"&amp;(ROW()-$B$14+1+$B$16)&amp;"_TOC_LABEL",A:B,2,FALSE),"")</f>
        <v>VII.     Application Budget</v>
      </c>
      <c r="R22" s="373"/>
      <c r="S22" s="373"/>
      <c r="T22" s="373"/>
      <c r="U22" s="373"/>
      <c r="V22" s="94" t="str">
        <f>IF(IFERROR(VLOOKUP("SECTION_"&amp;(ROW()-$B$14+1+$B$16)&amp;"_WARNING_FLAG",A:B,2,FALSE),FALSE),1,"")</f>
        <v/>
      </c>
      <c r="W22" s="102" t="str">
        <f ca="1">IFERROR(VLOOKUP("SECTION_"&amp;(ROW()-$B$14+1+$B$16)&amp;"_STATUS_TEXT",A:B,2,FALSE),"")</f>
        <v>Not Started</v>
      </c>
      <c r="X22" s="94" t="str">
        <f ca="1">IFERROR(VLOOKUP("SECTION_"&amp;(ROW()-$B$14+1+$B$16)&amp;"_STATUS_CODE",A:B,2,FALSE),"")</f>
        <v/>
      </c>
      <c r="Y22" s="122"/>
    </row>
    <row r="23" spans="1:25" s="80" customFormat="1" ht="22.15" customHeight="1" x14ac:dyDescent="0.35">
      <c r="A23" s="143" t="s">
        <v>141</v>
      </c>
      <c r="B23" s="159" t="str">
        <f>IF(AND(U30=0,W30=0),"",IF(U30&lt;&gt;0,TEXT(U30,"00000"),"")&amp;IF(W30&lt;&gt;0,"-"&amp;TEXT(W30,"0000"),""))</f>
        <v/>
      </c>
      <c r="C23" s="151">
        <f ca="1">VLOOKUP(A23,DB_TBL_DATA_FIELDS[[FIELD_ID]:[PCT_CALC_FIELD_STATUS_CODE]],22,FALSE)</f>
        <v>1</v>
      </c>
      <c r="D23" s="151" t="str">
        <f>IF(VLOOKUP(A23,DB_TBL_DATA_FIELDS[[FIELD_ID]:[ERROR_MESSAGE]],23,FALSE)&lt;&gt;0,VLOOKUP(A23,DB_TBL_DATA_FIELDS[[FIELD_ID]:[ERROR_MESSAGE]],23,FALSE),"")</f>
        <v/>
      </c>
      <c r="E23" s="151">
        <f>VLOOKUP(A23,DB_TBL_DATA_FIELDS[[#All],[FIELD_ID]:[RANGE_VALIDATION_MAX]],18,FALSE)</f>
        <v>5</v>
      </c>
      <c r="F23" s="151">
        <f>VLOOKUP(A23,DB_TBL_DATA_FIELDS[[#All],[FIELD_ID]:[RANGE_VALIDATION_MAX]],19,FALSE)</f>
        <v>10</v>
      </c>
      <c r="G23" s="151">
        <f t="shared" ca="1" si="0"/>
        <v>1</v>
      </c>
      <c r="H23" s="122"/>
      <c r="I23" s="402" t="str">
        <f>ROMAN(ROW()-$B$14+1)&amp;".     "&amp;IFERROR(VLOOKUP("SECTION_"&amp;(ROW()-$B$14+1)&amp;"_TOC_LABEL",A:B,2,FALSE),"")</f>
        <v>IV.     AHEAD Grant</v>
      </c>
      <c r="J23" s="403"/>
      <c r="K23" s="403"/>
      <c r="L23" s="403"/>
      <c r="M23" s="403"/>
      <c r="N23" s="94" t="str">
        <f>IF(IFERROR(VLOOKUP("SECTION_"&amp;(ROW()-$B$14+1)&amp;"_WARNING_FLAG",A:B,2,FALSE),FALSE),1,"")</f>
        <v/>
      </c>
      <c r="O23" s="100" t="str">
        <f ca="1">IFERROR(VLOOKUP("SECTION_"&amp;(ROW()-$B$14+1)&amp;"_STATUS_TEXT",A:B,2,FALSE),"")</f>
        <v>Not Started</v>
      </c>
      <c r="P23" s="103" t="str">
        <f ca="1">IFERROR(VLOOKUP("SECTION_"&amp;(ROW()-$B$14+1)&amp;"_STATUS_CODE",A:B,2,FALSE),"")</f>
        <v/>
      </c>
      <c r="Q23" s="372" t="str">
        <f>CHAR(ROW()-$B$14+1+96)&amp;".     "&amp;IFERROR(VLOOKUP("SECTION_"&amp;(ROW()-$B$14+1+$B$16)&amp;"_TOC_LABEL",A:B,2,FALSE),"")</f>
        <v xml:space="preserve">d.     </v>
      </c>
      <c r="R23" s="373"/>
      <c r="S23" s="373"/>
      <c r="T23" s="373"/>
      <c r="U23" s="373"/>
      <c r="V23" s="94" t="str">
        <f>IF(IFERROR(VLOOKUP("SECTION_"&amp;(ROW()-$B$14+1+$B$16)&amp;"_WARNING_FLAG",A:B,2,FALSE),FALSE),1,"")</f>
        <v/>
      </c>
      <c r="W23" s="102" t="str">
        <f>IFERROR(VLOOKUP("SECTION_"&amp;(ROW()-$B$14+1+$B$16)&amp;"_STATUS_TEXT",A:B,2,FALSE),"")</f>
        <v/>
      </c>
      <c r="X23" s="94" t="str">
        <f>IFERROR(VLOOKUP("SECTION_"&amp;(ROW()-$B$14+1+$B$16)&amp;"_STATUS_CODE",A:B,2,FALSE),"")</f>
        <v/>
      </c>
      <c r="Y23" s="122"/>
    </row>
    <row r="24" spans="1:25" s="80" customFormat="1" ht="22.15" customHeight="1" x14ac:dyDescent="0.35">
      <c r="A24" s="143" t="s">
        <v>2417</v>
      </c>
      <c r="B24" s="158" t="str">
        <f>IF(I32=0,"",I32)</f>
        <v/>
      </c>
      <c r="C24" s="151">
        <f ca="1">VLOOKUP(A24,DB_TBL_DATA_FIELDS[[FIELD_ID]:[PCT_CALC_FIELD_STATUS_CODE]],22,FALSE)</f>
        <v>1</v>
      </c>
      <c r="D24" s="151" t="str">
        <f>IF(VLOOKUP(A24,DB_TBL_DATA_FIELDS[[FIELD_ID]:[ERROR_MESSAGE]],23,FALSE)&lt;&gt;0,VLOOKUP(A24,DB_TBL_DATA_FIELDS[[FIELD_ID]:[ERROR_MESSAGE]],23,FALSE),"")</f>
        <v/>
      </c>
      <c r="E24" s="151">
        <f>VLOOKUP(A24,DB_TBL_DATA_FIELDS[[#All],[FIELD_ID]:[RANGE_VALIDATION_MAX]],18,FALSE)</f>
        <v>0</v>
      </c>
      <c r="F24" s="151">
        <f>VLOOKUP(A24,DB_TBL_DATA_FIELDS[[#All],[FIELD_ID]:[RANGE_VALIDATION_MAX]],19,FALSE)</f>
        <v>250</v>
      </c>
      <c r="G24" s="151">
        <f t="shared" ca="1" si="0"/>
        <v>1</v>
      </c>
      <c r="H24" s="122"/>
      <c r="I24" s="402"/>
      <c r="J24" s="403"/>
      <c r="K24" s="403"/>
      <c r="L24" s="403"/>
      <c r="M24" s="403"/>
      <c r="N24" s="94"/>
      <c r="O24" s="100"/>
      <c r="P24" s="209"/>
      <c r="Q24" s="374"/>
      <c r="R24" s="375"/>
      <c r="S24" s="375"/>
      <c r="T24" s="375"/>
      <c r="U24" s="375"/>
      <c r="V24" s="94"/>
      <c r="W24" s="102"/>
      <c r="X24" s="94"/>
      <c r="Y24" s="122"/>
    </row>
    <row r="25" spans="1:25" s="80" customFormat="1" ht="22.15" customHeight="1" thickBot="1" x14ac:dyDescent="0.4">
      <c r="A25" s="143" t="s">
        <v>142</v>
      </c>
      <c r="B25" s="158" t="str">
        <f>IF(Q32=0,"",Q32)</f>
        <v/>
      </c>
      <c r="C25" s="151">
        <f ca="1">VLOOKUP(A25,DB_TBL_DATA_FIELDS[[FIELD_ID]:[PCT_CALC_FIELD_STATUS_CODE]],22,FALSE)</f>
        <v>1</v>
      </c>
      <c r="D25" s="151" t="str">
        <f>IF(VLOOKUP(A25,DB_TBL_DATA_FIELDS[[FIELD_ID]:[ERROR_MESSAGE]],23,FALSE)&lt;&gt;0,VLOOKUP(A25,DB_TBL_DATA_FIELDS[[FIELD_ID]:[ERROR_MESSAGE]],23,FALSE),"")</f>
        <v/>
      </c>
      <c r="E25" s="151">
        <f>VLOOKUP(A25,DB_TBL_DATA_FIELDS[[#All],[FIELD_ID]:[RANGE_VALIDATION_MAX]],18,FALSE)</f>
        <v>0</v>
      </c>
      <c r="F25" s="151">
        <f>VLOOKUP(A25,DB_TBL_DATA_FIELDS[[#All],[FIELD_ID]:[RANGE_VALIDATION_MAX]],19,FALSE)</f>
        <v>250</v>
      </c>
      <c r="G25" s="151">
        <f t="shared" ref="G25" ca="1" si="1">IF(C25&lt;0,"",C25)</f>
        <v>1</v>
      </c>
      <c r="H25" s="123"/>
      <c r="I25" s="81" t="str">
        <f>B18</f>
        <v>Project Information</v>
      </c>
      <c r="J25" s="140"/>
      <c r="K25" s="140"/>
      <c r="L25" s="140"/>
      <c r="M25" s="140"/>
      <c r="N25" s="140"/>
      <c r="O25" s="140"/>
      <c r="P25" s="140"/>
      <c r="Q25" s="140"/>
      <c r="R25" s="140"/>
      <c r="S25" s="140"/>
      <c r="T25" s="140"/>
      <c r="U25" s="140"/>
      <c r="V25" s="140"/>
      <c r="W25" s="140"/>
      <c r="X25" s="98" t="str">
        <f ca="1">"Status: "&amp;$B$31</f>
        <v>Status: Not Started</v>
      </c>
      <c r="Y25" s="123"/>
    </row>
    <row r="26" spans="1:25" s="80" customFormat="1" ht="22.15" customHeight="1" x14ac:dyDescent="0.35">
      <c r="A26" s="160" t="s">
        <v>123</v>
      </c>
      <c r="B26" s="152" t="str">
        <f>"C"&amp;MATCH(LEFT(A26,LEN(A26)-LEN("_RANGE")),A:A,0)+1&amp;":C"&amp;(ROW()-1)</f>
        <v>C19:C25</v>
      </c>
      <c r="C26" s="151"/>
      <c r="D26" s="151"/>
      <c r="E26" s="151"/>
      <c r="F26" s="151"/>
      <c r="G26" s="151"/>
      <c r="H26" s="123"/>
      <c r="I26" s="123"/>
      <c r="J26" s="123"/>
      <c r="K26" s="123"/>
      <c r="L26" s="123"/>
      <c r="M26" s="123"/>
      <c r="N26" s="123"/>
      <c r="O26" s="123"/>
      <c r="P26" s="123"/>
      <c r="Q26" s="123"/>
      <c r="R26" s="123"/>
      <c r="S26" s="123"/>
      <c r="T26" s="123"/>
      <c r="U26" s="123"/>
      <c r="V26" s="123"/>
      <c r="W26" s="123"/>
      <c r="X26" s="123"/>
      <c r="Y26" s="123"/>
    </row>
    <row r="27" spans="1:25" s="80" customFormat="1" ht="22.15" customHeight="1" x14ac:dyDescent="0.35">
      <c r="A27" s="160" t="s">
        <v>117</v>
      </c>
      <c r="B27" s="152">
        <f ca="1">COUNTIF(INDIRECT($B26),2)</f>
        <v>0</v>
      </c>
      <c r="C27" s="151"/>
      <c r="D27" s="151"/>
      <c r="E27" s="151"/>
      <c r="F27" s="151"/>
      <c r="G27" s="151"/>
      <c r="H27" s="120"/>
      <c r="I27" s="120" t="s">
        <v>39</v>
      </c>
      <c r="J27" s="79"/>
      <c r="K27" s="120"/>
      <c r="L27" s="79"/>
      <c r="M27" s="120"/>
      <c r="N27" s="79"/>
      <c r="O27" s="120"/>
      <c r="P27" s="79"/>
      <c r="Q27" s="120"/>
      <c r="R27" s="79"/>
      <c r="S27" s="120"/>
      <c r="T27" s="79"/>
      <c r="U27" s="120"/>
      <c r="V27" s="120"/>
      <c r="W27" s="211" t="str">
        <f>SUBSTITUTE(SUBSTITUTE(SUBSTITUTE(IF(LEN(B19)&gt;F19,CONFIG_CHAR_LIMIT_TEMPLATE_ERR,CONFIG_CHAR_LIMIT_TEMPLATE),"[diff]",ABS(LEN(B19)-F19)),"[limit]",F19),"[used]",LEN(B19))</f>
        <v>60 character(s) remaining</v>
      </c>
      <c r="X27" s="124" t="str">
        <f>IF(TRUE,"",IF(F19-LEN(I28)&lt;0,"Character Allowance Exceeded",MAX(F19-LEN(I28),0)&amp;" More Characters Allowed"))</f>
        <v/>
      </c>
      <c r="Y27" s="120"/>
    </row>
    <row r="28" spans="1:25" s="80" customFormat="1" ht="22.15" customHeight="1" x14ac:dyDescent="0.3">
      <c r="A28" s="160" t="s">
        <v>118</v>
      </c>
      <c r="B28" s="152">
        <f ca="1">COUNTIF(INDIRECT($B26),0)+COUNTIF(INDIRECT($B26),1)+COUNTIF(INDIRECT($B26),2)</f>
        <v>7</v>
      </c>
      <c r="C28" s="151"/>
      <c r="D28" s="151"/>
      <c r="E28" s="151"/>
      <c r="F28" s="151"/>
      <c r="G28" s="151"/>
      <c r="H28" s="120"/>
      <c r="I28" s="339"/>
      <c r="J28" s="404"/>
      <c r="K28" s="404"/>
      <c r="L28" s="404"/>
      <c r="M28" s="404"/>
      <c r="N28" s="404"/>
      <c r="O28" s="404"/>
      <c r="P28" s="404"/>
      <c r="Q28" s="404"/>
      <c r="R28" s="404"/>
      <c r="S28" s="404"/>
      <c r="T28" s="404"/>
      <c r="U28" s="404"/>
      <c r="V28" s="404"/>
      <c r="W28" s="405"/>
      <c r="X28" s="96">
        <f ca="1">G19</f>
        <v>1</v>
      </c>
      <c r="Y28" s="120"/>
    </row>
    <row r="29" spans="1:25" s="80" customFormat="1" ht="22.15" customHeight="1" x14ac:dyDescent="0.35">
      <c r="A29" s="160" t="s">
        <v>119</v>
      </c>
      <c r="B29" s="152">
        <f ca="1">COUNTIF(INDIRECT($B26),0)</f>
        <v>0</v>
      </c>
      <c r="C29" s="151" t="s">
        <v>2300</v>
      </c>
      <c r="D29" s="151"/>
      <c r="E29" s="151"/>
      <c r="F29" s="151"/>
      <c r="G29" s="151"/>
      <c r="H29" s="120"/>
      <c r="I29" s="120" t="s">
        <v>175</v>
      </c>
      <c r="J29" s="120"/>
      <c r="K29" s="120"/>
      <c r="L29" s="120"/>
      <c r="M29" s="120"/>
      <c r="N29" s="120"/>
      <c r="O29" s="120" t="s">
        <v>53</v>
      </c>
      <c r="P29" s="120"/>
      <c r="Q29" s="120"/>
      <c r="R29" s="120"/>
      <c r="S29" s="120" t="s">
        <v>54</v>
      </c>
      <c r="T29" s="125"/>
      <c r="U29" s="120" t="s">
        <v>2323</v>
      </c>
      <c r="V29" s="79"/>
      <c r="W29" s="120"/>
      <c r="X29" s="79"/>
      <c r="Y29" s="120"/>
    </row>
    <row r="30" spans="1:25" s="80" customFormat="1" ht="22.15" customHeight="1" x14ac:dyDescent="0.35">
      <c r="A30" s="160" t="s">
        <v>120</v>
      </c>
      <c r="B30" s="161">
        <f ca="1">IFERROR(B27/B28,1.01)</f>
        <v>0</v>
      </c>
      <c r="C30" s="151"/>
      <c r="D30" s="151"/>
      <c r="E30" s="151"/>
      <c r="F30" s="151"/>
      <c r="G30" s="151"/>
      <c r="H30" s="120"/>
      <c r="I30" s="339"/>
      <c r="J30" s="340"/>
      <c r="K30" s="340"/>
      <c r="L30" s="340"/>
      <c r="M30" s="363"/>
      <c r="N30" s="96">
        <f ca="1">G20</f>
        <v>1</v>
      </c>
      <c r="O30" s="339"/>
      <c r="P30" s="340"/>
      <c r="Q30" s="363"/>
      <c r="R30" s="96">
        <f ca="1">G21</f>
        <v>1</v>
      </c>
      <c r="S30" s="172"/>
      <c r="T30" s="96">
        <f ca="1">G22</f>
        <v>1</v>
      </c>
      <c r="U30" s="126"/>
      <c r="V30" s="142" t="s">
        <v>55</v>
      </c>
      <c r="W30" s="127"/>
      <c r="X30" s="96">
        <f ca="1">G23</f>
        <v>1</v>
      </c>
      <c r="Y30" s="120"/>
    </row>
    <row r="31" spans="1:25" s="80" customFormat="1" ht="22.15" customHeight="1" x14ac:dyDescent="0.35">
      <c r="A31" s="160" t="s">
        <v>121</v>
      </c>
      <c r="B31" s="162" t="str">
        <f ca="1">IF(B29&gt;0,"Data Error(s)",IF(B30=0,"Not Started",IF(B30&lt;1,ROUNDUP(B30*100,0)&amp;"% Done",IF(B30&gt;1,"Optional","Complete"))))</f>
        <v>Not Started</v>
      </c>
      <c r="C31" s="151"/>
      <c r="D31" s="151"/>
      <c r="E31" s="151"/>
      <c r="F31" s="151"/>
      <c r="G31" s="151"/>
      <c r="H31" s="120"/>
      <c r="I31" s="120" t="s">
        <v>2667</v>
      </c>
      <c r="M31" s="209"/>
      <c r="N31" s="209"/>
      <c r="O31" s="209"/>
      <c r="P31" s="209"/>
      <c r="Q31" s="120" t="s">
        <v>111</v>
      </c>
      <c r="R31" s="79"/>
      <c r="S31" s="120"/>
      <c r="T31" s="79"/>
      <c r="U31" s="120"/>
      <c r="V31" s="79"/>
      <c r="W31" s="120"/>
      <c r="X31" s="120"/>
      <c r="Y31" s="120"/>
    </row>
    <row r="32" spans="1:25" s="80" customFormat="1" ht="22.15" customHeight="1" x14ac:dyDescent="0.35">
      <c r="A32" s="160" t="s">
        <v>122</v>
      </c>
      <c r="B32" s="152" t="str">
        <f ca="1">IF(B29&gt;0,0,IF(B30&lt;1,"",2))</f>
        <v/>
      </c>
      <c r="C32" s="151"/>
      <c r="D32" s="151"/>
      <c r="E32" s="151"/>
      <c r="F32" s="151"/>
      <c r="G32" s="151"/>
      <c r="H32" s="120"/>
      <c r="I32" s="339"/>
      <c r="J32" s="367"/>
      <c r="K32" s="367"/>
      <c r="L32" s="367"/>
      <c r="M32" s="367"/>
      <c r="N32" s="367"/>
      <c r="O32" s="368"/>
      <c r="P32" s="96">
        <f ca="1">G24</f>
        <v>1</v>
      </c>
      <c r="Q32" s="339"/>
      <c r="R32" s="367"/>
      <c r="S32" s="367"/>
      <c r="T32" s="367"/>
      <c r="U32" s="367"/>
      <c r="V32" s="367"/>
      <c r="W32" s="368"/>
      <c r="X32" s="96">
        <f ca="1">G25</f>
        <v>1</v>
      </c>
      <c r="Y32" s="120"/>
    </row>
    <row r="33" spans="1:25" s="80" customFormat="1" ht="22.15" customHeight="1" x14ac:dyDescent="0.35">
      <c r="A33" s="160" t="s">
        <v>125</v>
      </c>
      <c r="B33" s="163" t="s">
        <v>2662</v>
      </c>
      <c r="C33" s="151"/>
      <c r="D33" s="151"/>
      <c r="E33" s="151"/>
      <c r="F33" s="151"/>
      <c r="G33" s="151"/>
      <c r="H33" s="122"/>
      <c r="I33" s="123"/>
      <c r="J33" s="120"/>
      <c r="K33" s="120"/>
      <c r="L33" s="120"/>
      <c r="M33" s="120"/>
      <c r="N33" s="120"/>
      <c r="O33" s="123"/>
      <c r="P33" s="85"/>
      <c r="Q33" s="122"/>
      <c r="R33" s="85"/>
      <c r="S33" s="122"/>
      <c r="T33" s="85"/>
      <c r="U33" s="122"/>
      <c r="V33" s="85"/>
      <c r="W33" s="122"/>
      <c r="X33" s="85"/>
      <c r="Y33" s="122"/>
    </row>
    <row r="34" spans="1:25" s="80" customFormat="1" ht="22.15" customHeight="1" thickBot="1" x14ac:dyDescent="0.4">
      <c r="A34" s="164" t="s">
        <v>2209</v>
      </c>
      <c r="B34" s="152">
        <v>0</v>
      </c>
      <c r="C34" s="151" t="s">
        <v>2284</v>
      </c>
      <c r="D34" s="151"/>
      <c r="E34" s="151"/>
      <c r="F34" s="151"/>
      <c r="G34" s="151"/>
      <c r="H34" s="122"/>
      <c r="I34" s="81" t="str">
        <f>B36</f>
        <v>Member Institution</v>
      </c>
      <c r="J34" s="140"/>
      <c r="K34" s="140"/>
      <c r="L34" s="140"/>
      <c r="M34" s="140"/>
      <c r="N34" s="140"/>
      <c r="O34" s="140"/>
      <c r="P34" s="140"/>
      <c r="Q34" s="140"/>
      <c r="R34" s="140"/>
      <c r="S34" s="140"/>
      <c r="T34" s="140"/>
      <c r="U34" s="140"/>
      <c r="V34" s="140"/>
      <c r="W34" s="140"/>
      <c r="X34" s="98" t="str">
        <f ca="1">"Status: "&amp;$B$51</f>
        <v>Status: Not Started</v>
      </c>
      <c r="Y34" s="122"/>
    </row>
    <row r="35" spans="1:25" ht="22.15" customHeight="1" x14ac:dyDescent="0.3">
      <c r="A35" s="164" t="s">
        <v>2210</v>
      </c>
      <c r="B35" s="152" t="b">
        <f>(B34&gt;0)</f>
        <v>0</v>
      </c>
      <c r="C35" s="151"/>
      <c r="D35" s="151"/>
      <c r="E35" s="151"/>
      <c r="F35" s="151"/>
      <c r="G35" s="151"/>
      <c r="H35" s="122"/>
      <c r="I35" s="122"/>
      <c r="J35" s="85"/>
      <c r="K35" s="122"/>
      <c r="L35" s="85"/>
      <c r="M35" s="122"/>
      <c r="N35" s="85"/>
      <c r="O35" s="122"/>
      <c r="P35" s="85"/>
      <c r="Q35" s="122"/>
      <c r="R35" s="85"/>
      <c r="S35" s="122"/>
      <c r="T35" s="85"/>
      <c r="U35" s="122"/>
      <c r="V35" s="85"/>
      <c r="W35" s="122"/>
      <c r="X35" s="85"/>
      <c r="Y35" s="122"/>
    </row>
    <row r="36" spans="1:25" ht="22.15" customHeight="1" x14ac:dyDescent="0.3">
      <c r="A36" s="155" t="s">
        <v>126</v>
      </c>
      <c r="B36" s="170" t="s">
        <v>2663</v>
      </c>
      <c r="C36" s="156"/>
      <c r="D36" s="157"/>
      <c r="E36" s="157"/>
      <c r="F36" s="157"/>
      <c r="G36" s="170" t="s">
        <v>2663</v>
      </c>
      <c r="H36" s="122"/>
      <c r="I36" s="120" t="s">
        <v>135</v>
      </c>
      <c r="J36" s="85"/>
      <c r="K36" s="122"/>
      <c r="L36" s="85"/>
      <c r="M36" s="122"/>
      <c r="N36" s="85"/>
      <c r="O36" s="122"/>
      <c r="P36" s="85"/>
      <c r="Q36" s="122"/>
      <c r="R36" s="85"/>
      <c r="S36" s="122"/>
      <c r="T36" s="85"/>
      <c r="U36" s="120"/>
      <c r="V36" s="120"/>
      <c r="W36" s="120"/>
      <c r="X36" s="120"/>
      <c r="Y36" s="122"/>
    </row>
    <row r="37" spans="1:25" ht="22.15" customHeight="1" x14ac:dyDescent="0.3">
      <c r="A37" s="143" t="s">
        <v>2238</v>
      </c>
      <c r="B37" s="158" t="str">
        <f>IF(I37=0,"",I37)</f>
        <v/>
      </c>
      <c r="C37" s="151">
        <f ca="1">VLOOKUP(A37,DB_TBL_DATA_FIELDS[[FIELD_ID]:[PCT_CALC_FIELD_STATUS_CODE]],22,FALSE)</f>
        <v>1</v>
      </c>
      <c r="D37" s="151" t="str">
        <f>IF(VLOOKUP(A37,DB_TBL_DATA_FIELDS[[FIELD_ID]:[ERROR_MESSAGE]],23,FALSE)&lt;&gt;0,VLOOKUP(A37,DB_TBL_DATA_FIELDS[[FIELD_ID]:[ERROR_MESSAGE]],23,FALSE),"")</f>
        <v/>
      </c>
      <c r="E37" s="151">
        <f>VLOOKUP(A37,DB_TBL_DATA_FIELDS[[#All],[FIELD_ID]:[RANGE_VALIDATION_MAX]],18,FALSE)</f>
        <v>0</v>
      </c>
      <c r="F37" s="151">
        <f>VLOOKUP(A37,DB_TBL_DATA_FIELDS[[#All],[FIELD_ID]:[RANGE_VALIDATION_MAX]],19,FALSE)</f>
        <v>150</v>
      </c>
      <c r="G37" s="151">
        <f t="shared" ref="G37" ca="1" si="2">IF(C37&lt;0,"",C37)</f>
        <v>1</v>
      </c>
      <c r="H37" s="122"/>
      <c r="I37" s="339"/>
      <c r="J37" s="367"/>
      <c r="K37" s="367"/>
      <c r="L37" s="367"/>
      <c r="M37" s="367"/>
      <c r="N37" s="367"/>
      <c r="O37" s="367"/>
      <c r="P37" s="367"/>
      <c r="Q37" s="367"/>
      <c r="R37" s="367"/>
      <c r="S37" s="367"/>
      <c r="T37" s="367"/>
      <c r="U37" s="367"/>
      <c r="V37" s="367"/>
      <c r="W37" s="368"/>
      <c r="X37" s="96">
        <f ca="1">G37</f>
        <v>1</v>
      </c>
      <c r="Y37" s="122"/>
    </row>
    <row r="38" spans="1:25" ht="22.15" customHeight="1" x14ac:dyDescent="0.3">
      <c r="A38" s="143" t="s">
        <v>2239</v>
      </c>
      <c r="B38" s="158" t="str">
        <f>IF(I39=0,"",I39)</f>
        <v/>
      </c>
      <c r="C38" s="151">
        <f ca="1">VLOOKUP(A38,DB_TBL_DATA_FIELDS[[FIELD_ID]:[PCT_CALC_FIELD_STATUS_CODE]],22,FALSE)</f>
        <v>1</v>
      </c>
      <c r="D38" s="151" t="str">
        <f>IF(VLOOKUP(A38,DB_TBL_DATA_FIELDS[[FIELD_ID]:[ERROR_MESSAGE]],23,FALSE)&lt;&gt;0,VLOOKUP(A38,DB_TBL_DATA_FIELDS[[FIELD_ID]:[ERROR_MESSAGE]],23,FALSE),"")</f>
        <v/>
      </c>
      <c r="E38" s="151">
        <f>VLOOKUP(A38,DB_TBL_DATA_FIELDS[[#All],[FIELD_ID]:[RANGE_VALIDATION_MAX]],18,FALSE)</f>
        <v>0</v>
      </c>
      <c r="F38" s="151">
        <f>VLOOKUP(A38,DB_TBL_DATA_FIELDS[[#All],[FIELD_ID]:[RANGE_VALIDATION_MAX]],19,FALSE)</f>
        <v>150</v>
      </c>
      <c r="G38" s="151">
        <f t="shared" ref="G38:G43" ca="1" si="3">IF(C38&lt;0,"",C38)</f>
        <v>1</v>
      </c>
      <c r="H38" s="122"/>
      <c r="I38" s="120" t="s">
        <v>2668</v>
      </c>
      <c r="J38" s="79"/>
      <c r="K38" s="120"/>
      <c r="L38" s="79"/>
      <c r="M38" s="120"/>
      <c r="N38" s="79"/>
      <c r="O38" s="120"/>
      <c r="P38" s="79"/>
      <c r="Q38" s="120" t="s">
        <v>174</v>
      </c>
      <c r="R38" s="79"/>
      <c r="S38" s="120"/>
      <c r="T38" s="79"/>
      <c r="U38" s="122"/>
      <c r="V38" s="85"/>
      <c r="W38" s="122"/>
      <c r="X38" s="96"/>
      <c r="Y38" s="122"/>
    </row>
    <row r="39" spans="1:25" ht="22.15" customHeight="1" x14ac:dyDescent="0.3">
      <c r="A39" s="143" t="s">
        <v>2240</v>
      </c>
      <c r="B39" s="158" t="str">
        <f>IF(Q39=0,"",Q39)</f>
        <v/>
      </c>
      <c r="C39" s="151">
        <f ca="1">VLOOKUP(A39,DB_TBL_DATA_FIELDS[[FIELD_ID]:[PCT_CALC_FIELD_STATUS_CODE]],22,FALSE)</f>
        <v>1</v>
      </c>
      <c r="D39" s="151" t="str">
        <f>IF(VLOOKUP(A39,DB_TBL_DATA_FIELDS[[FIELD_ID]:[ERROR_MESSAGE]],23,FALSE)&lt;&gt;0,VLOOKUP(A39,DB_TBL_DATA_FIELDS[[FIELD_ID]:[ERROR_MESSAGE]],23,FALSE),"")</f>
        <v/>
      </c>
      <c r="E39" s="151">
        <f>VLOOKUP(A39,DB_TBL_DATA_FIELDS[[#All],[FIELD_ID]:[RANGE_VALIDATION_MAX]],18,FALSE)</f>
        <v>0</v>
      </c>
      <c r="F39" s="151">
        <f>VLOOKUP(A39,DB_TBL_DATA_FIELDS[[#All],[FIELD_ID]:[RANGE_VALIDATION_MAX]],19,FALSE)</f>
        <v>150</v>
      </c>
      <c r="G39" s="151">
        <f t="shared" ca="1" si="3"/>
        <v>1</v>
      </c>
      <c r="H39" s="122"/>
      <c r="I39" s="369"/>
      <c r="J39" s="370"/>
      <c r="K39" s="370"/>
      <c r="L39" s="370"/>
      <c r="M39" s="370"/>
      <c r="N39" s="370"/>
      <c r="O39" s="371"/>
      <c r="P39" s="96">
        <f ca="1">G38</f>
        <v>1</v>
      </c>
      <c r="Q39" s="339"/>
      <c r="R39" s="367"/>
      <c r="S39" s="367"/>
      <c r="T39" s="367"/>
      <c r="U39" s="367"/>
      <c r="V39" s="367"/>
      <c r="W39" s="368"/>
      <c r="X39" s="96">
        <f ca="1">G39</f>
        <v>1</v>
      </c>
      <c r="Y39" s="122"/>
    </row>
    <row r="40" spans="1:25" ht="22.15" customHeight="1" x14ac:dyDescent="0.3">
      <c r="A40" s="143" t="s">
        <v>2241</v>
      </c>
      <c r="B40" s="158" t="str">
        <f>IF(I41=0,"",I41)</f>
        <v/>
      </c>
      <c r="C40" s="151">
        <f ca="1">VLOOKUP(A40,DB_TBL_DATA_FIELDS[[FIELD_ID]:[PCT_CALC_FIELD_STATUS_CODE]],22,FALSE)</f>
        <v>1</v>
      </c>
      <c r="D40" s="151" t="str">
        <f>IF(VLOOKUP(A40,DB_TBL_DATA_FIELDS[[FIELD_ID]:[ERROR_MESSAGE]],23,FALSE)&lt;&gt;0,VLOOKUP(A40,DB_TBL_DATA_FIELDS[[FIELD_ID]:[ERROR_MESSAGE]],23,FALSE),"")</f>
        <v/>
      </c>
      <c r="E40" s="151">
        <f>VLOOKUP(A40,DB_TBL_DATA_FIELDS[[#All],[FIELD_ID]:[RANGE_VALIDATION_MAX]],18,FALSE)</f>
        <v>0</v>
      </c>
      <c r="F40" s="151">
        <f>VLOOKUP(A40,DB_TBL_DATA_FIELDS[[#All],[FIELD_ID]:[RANGE_VALIDATION_MAX]],19,FALSE)</f>
        <v>60</v>
      </c>
      <c r="G40" s="151">
        <f t="shared" ca="1" si="3"/>
        <v>1</v>
      </c>
      <c r="H40" s="122"/>
      <c r="I40" s="122" t="s">
        <v>175</v>
      </c>
      <c r="J40" s="85"/>
      <c r="K40" s="122"/>
      <c r="L40" s="85"/>
      <c r="M40" s="120"/>
      <c r="N40" s="79"/>
      <c r="O40" s="120" t="s">
        <v>53</v>
      </c>
      <c r="P40" s="79"/>
      <c r="Q40" s="120"/>
      <c r="R40" s="79"/>
      <c r="S40" s="120" t="s">
        <v>54</v>
      </c>
      <c r="T40" s="79"/>
      <c r="U40" s="120" t="s">
        <v>2323</v>
      </c>
      <c r="V40" s="79"/>
      <c r="W40" s="120"/>
      <c r="X40" s="79"/>
      <c r="Y40" s="122"/>
    </row>
    <row r="41" spans="1:25" ht="22.15" customHeight="1" x14ac:dyDescent="0.3">
      <c r="A41" s="143" t="s">
        <v>2242</v>
      </c>
      <c r="B41" s="158" t="str">
        <f>IF(O41=0,"",O41)</f>
        <v/>
      </c>
      <c r="C41" s="151">
        <f ca="1">VLOOKUP(A41,DB_TBL_DATA_FIELDS[[FIELD_ID]:[PCT_CALC_FIELD_STATUS_CODE]],22,FALSE)</f>
        <v>1</v>
      </c>
      <c r="D41" s="151" t="str">
        <f>IF(VLOOKUP(A41,DB_TBL_DATA_FIELDS[[FIELD_ID]:[ERROR_MESSAGE]],23,FALSE)&lt;&gt;0,VLOOKUP(A41,DB_TBL_DATA_FIELDS[[FIELD_ID]:[ERROR_MESSAGE]],23,FALSE),"")</f>
        <v/>
      </c>
      <c r="E41" s="151">
        <f>VLOOKUP(A41,DB_TBL_DATA_FIELDS[[#All],[FIELD_ID]:[RANGE_VALIDATION_MAX]],18,FALSE)</f>
        <v>0</v>
      </c>
      <c r="F41" s="151">
        <f>VLOOKUP(A41,DB_TBL_DATA_FIELDS[[#All],[FIELD_ID]:[RANGE_VALIDATION_MAX]],19,FALSE)</f>
        <v>30</v>
      </c>
      <c r="G41" s="151">
        <f t="shared" ca="1" si="3"/>
        <v>1</v>
      </c>
      <c r="H41" s="122"/>
      <c r="I41" s="385"/>
      <c r="J41" s="394"/>
      <c r="K41" s="394"/>
      <c r="L41" s="394"/>
      <c r="M41" s="395"/>
      <c r="N41" s="96">
        <f ca="1">G40</f>
        <v>1</v>
      </c>
      <c r="O41" s="339"/>
      <c r="P41" s="367"/>
      <c r="Q41" s="368"/>
      <c r="R41" s="96">
        <f ca="1">G41</f>
        <v>1</v>
      </c>
      <c r="S41" s="172"/>
      <c r="T41" s="96">
        <f ca="1">G42</f>
        <v>1</v>
      </c>
      <c r="U41" s="126"/>
      <c r="V41" s="142" t="s">
        <v>55</v>
      </c>
      <c r="W41" s="127"/>
      <c r="X41" s="96">
        <f ca="1">G43</f>
        <v>1</v>
      </c>
      <c r="Y41" s="122"/>
    </row>
    <row r="42" spans="1:25" ht="22.15" customHeight="1" x14ac:dyDescent="0.3">
      <c r="A42" s="143" t="s">
        <v>2243</v>
      </c>
      <c r="B42" s="158" t="str">
        <f>IF(S41=0,"",S41)</f>
        <v/>
      </c>
      <c r="C42" s="151">
        <f ca="1">VLOOKUP(A42,DB_TBL_DATA_FIELDS[[FIELD_ID]:[PCT_CALC_FIELD_STATUS_CODE]],22,FALSE)</f>
        <v>1</v>
      </c>
      <c r="D42" s="151" t="str">
        <f>IF(VLOOKUP(A42,DB_TBL_DATA_FIELDS[[FIELD_ID]:[ERROR_MESSAGE]],23,FALSE)&lt;&gt;0,VLOOKUP(A42,DB_TBL_DATA_FIELDS[[FIELD_ID]:[ERROR_MESSAGE]],23,FALSE),"")</f>
        <v/>
      </c>
      <c r="E42" s="151">
        <f>VLOOKUP(A42,DB_TBL_DATA_FIELDS[[#All],[FIELD_ID]:[RANGE_VALIDATION_MAX]],18,FALSE)</f>
        <v>2</v>
      </c>
      <c r="F42" s="151">
        <f>VLOOKUP(A42,DB_TBL_DATA_FIELDS[[#All],[FIELD_ID]:[RANGE_VALIDATION_MAX]],19,FALSE)</f>
        <v>2</v>
      </c>
      <c r="G42" s="151">
        <f t="shared" ca="1" si="3"/>
        <v>1</v>
      </c>
      <c r="H42" s="122"/>
      <c r="I42" s="120" t="s">
        <v>2666</v>
      </c>
      <c r="J42" s="79"/>
      <c r="K42" s="120"/>
      <c r="L42" s="79"/>
      <c r="M42" s="120"/>
      <c r="N42" s="79"/>
      <c r="O42" s="122"/>
      <c r="P42" s="85"/>
      <c r="Q42" s="120" t="s">
        <v>2670</v>
      </c>
      <c r="R42" s="79"/>
      <c r="S42" s="120"/>
      <c r="T42" s="79"/>
      <c r="U42" s="122"/>
      <c r="V42" s="85"/>
      <c r="W42" s="105"/>
      <c r="X42" s="85"/>
      <c r="Y42" s="122"/>
    </row>
    <row r="43" spans="1:25" ht="22.15" customHeight="1" x14ac:dyDescent="0.3">
      <c r="A43" s="143" t="s">
        <v>2244</v>
      </c>
      <c r="B43" s="159" t="str">
        <f>IF(AND(U41=0,W41=0),"",IF(U41&lt;&gt;0,TEXT(U41,"00000"),"")&amp;IF(W41&lt;&gt;0,"-"&amp;TEXT(W41,"0000"),""))</f>
        <v/>
      </c>
      <c r="C43" s="151">
        <f ca="1">VLOOKUP(A43,DB_TBL_DATA_FIELDS[[FIELD_ID]:[PCT_CALC_FIELD_STATUS_CODE]],22,FALSE)</f>
        <v>1</v>
      </c>
      <c r="D43" s="151" t="str">
        <f>IF(VLOOKUP(A43,DB_TBL_DATA_FIELDS[[FIELD_ID]:[ERROR_MESSAGE]],23,FALSE)&lt;&gt;0,VLOOKUP(A43,DB_TBL_DATA_FIELDS[[FIELD_ID]:[ERROR_MESSAGE]],23,FALSE),"")</f>
        <v/>
      </c>
      <c r="E43" s="151">
        <f>VLOOKUP(A43,DB_TBL_DATA_FIELDS[[#All],[FIELD_ID]:[RANGE_VALIDATION_MAX]],18,FALSE)</f>
        <v>5</v>
      </c>
      <c r="F43" s="151">
        <f>VLOOKUP(A43,DB_TBL_DATA_FIELDS[[#All],[FIELD_ID]:[RANGE_VALIDATION_MAX]],19,FALSE)</f>
        <v>10</v>
      </c>
      <c r="G43" s="151">
        <f t="shared" ca="1" si="3"/>
        <v>1</v>
      </c>
      <c r="H43" s="122"/>
      <c r="I43" s="356"/>
      <c r="J43" s="396"/>
      <c r="K43" s="396"/>
      <c r="L43" s="396"/>
      <c r="M43" s="396"/>
      <c r="N43" s="396"/>
      <c r="O43" s="397"/>
      <c r="P43" s="96">
        <f ca="1">G44</f>
        <v>1</v>
      </c>
      <c r="Q43" s="364"/>
      <c r="R43" s="398"/>
      <c r="S43" s="398"/>
      <c r="T43" s="398"/>
      <c r="U43" s="398"/>
      <c r="V43" s="398"/>
      <c r="W43" s="399"/>
      <c r="X43" s="96">
        <f ca="1">G45</f>
        <v>1</v>
      </c>
      <c r="Y43" s="122"/>
    </row>
    <row r="44" spans="1:25" ht="22.15" customHeight="1" x14ac:dyDescent="0.3">
      <c r="A44" s="143" t="s">
        <v>2245</v>
      </c>
      <c r="B44" s="158" t="str">
        <f>IF(I43=0,"",I43)</f>
        <v/>
      </c>
      <c r="C44" s="151">
        <f ca="1">VLOOKUP(A44,DB_TBL_DATA_FIELDS[[FIELD_ID]:[PCT_CALC_FIELD_STATUS_CODE]],22,FALSE)</f>
        <v>1</v>
      </c>
      <c r="D44" s="151" t="str">
        <f ca="1">IF(VLOOKUP(A44,DB_TBL_DATA_FIELDS[[FIELD_ID]:[ERROR_MESSAGE]],23,FALSE)&lt;&gt;0,VLOOKUP(A44,DB_TBL_DATA_FIELDS[[FIELD_ID]:[ERROR_MESSAGE]],23,FALSE),"")</f>
        <v/>
      </c>
      <c r="E44" s="151">
        <f>VLOOKUP(A44,DB_TBL_DATA_FIELDS[[#All],[FIELD_ID]:[RANGE_VALIDATION_MAX]],18,FALSE)</f>
        <v>0</v>
      </c>
      <c r="F44" s="151">
        <f>VLOOKUP(A44,DB_TBL_DATA_FIELDS[[#All],[FIELD_ID]:[RANGE_VALIDATION_MAX]],19,FALSE)</f>
        <v>150</v>
      </c>
      <c r="G44" s="151">
        <f t="shared" ref="G44" ca="1" si="4">IF(C44&lt;0,"",C44)</f>
        <v>1</v>
      </c>
      <c r="H44" s="122"/>
      <c r="I44" s="400" t="str">
        <f ca="1">D44</f>
        <v/>
      </c>
      <c r="J44" s="401"/>
      <c r="K44" s="401"/>
      <c r="L44" s="401"/>
      <c r="M44" s="401"/>
      <c r="N44" s="401"/>
      <c r="O44" s="401"/>
      <c r="P44" s="85"/>
      <c r="Q44" s="122"/>
      <c r="R44" s="85"/>
      <c r="S44" s="122"/>
      <c r="T44" s="85"/>
      <c r="U44" s="122"/>
      <c r="V44" s="85"/>
      <c r="W44" s="122"/>
      <c r="X44" s="85"/>
      <c r="Y44" s="122"/>
    </row>
    <row r="45" spans="1:25" ht="22.15" customHeight="1" x14ac:dyDescent="0.3">
      <c r="A45" s="143" t="s">
        <v>2246</v>
      </c>
      <c r="B45" s="158" t="str">
        <f>IF(Q43=0,"",Q43)</f>
        <v/>
      </c>
      <c r="C45" s="151">
        <f ca="1">VLOOKUP(A45,DB_TBL_DATA_FIELDS[[FIELD_ID]:[PCT_CALC_FIELD_STATUS_CODE]],22,FALSE)</f>
        <v>1</v>
      </c>
      <c r="D45" s="151" t="str">
        <f>IF(VLOOKUP(A45,DB_TBL_DATA_FIELDS[[FIELD_ID]:[ERROR_MESSAGE]],23,FALSE)&lt;&gt;0,VLOOKUP(A45,DB_TBL_DATA_FIELDS[[FIELD_ID]:[ERROR_MESSAGE]],23,FALSE),"")</f>
        <v/>
      </c>
      <c r="E45" s="151">
        <f>VLOOKUP(A45,DB_TBL_DATA_FIELDS[[#All],[FIELD_ID]:[RANGE_VALIDATION_MAX]],18,FALSE)</f>
        <v>0</v>
      </c>
      <c r="F45" s="151">
        <f>VLOOKUP(A45,DB_TBL_DATA_FIELDS[[#All],[FIELD_ID]:[RANGE_VALIDATION_MAX]],19,FALSE)</f>
        <v>150</v>
      </c>
      <c r="G45" s="151">
        <f ca="1">IF(C45&lt;0,"",C45)</f>
        <v>1</v>
      </c>
      <c r="H45" s="122"/>
      <c r="I45" s="120"/>
      <c r="J45" s="120"/>
      <c r="K45" s="120"/>
      <c r="L45" s="120"/>
      <c r="M45" s="120"/>
      <c r="N45" s="120"/>
      <c r="O45" s="122"/>
      <c r="P45" s="85"/>
      <c r="Q45" s="122"/>
      <c r="R45" s="85"/>
      <c r="S45" s="122"/>
      <c r="T45" s="85"/>
      <c r="U45" s="122"/>
      <c r="V45" s="85"/>
      <c r="W45" s="122"/>
      <c r="X45" s="85"/>
      <c r="Y45" s="122"/>
    </row>
    <row r="46" spans="1:25" ht="22.15" customHeight="1" thickBot="1" x14ac:dyDescent="0.35">
      <c r="A46" s="160" t="s">
        <v>127</v>
      </c>
      <c r="B46" s="152" t="str">
        <f>"C"&amp;MATCH(LEFT(A46,LEN(A46)-LEN("_RANGE")),A:A,0)+1&amp;":C"&amp;(ROW()-1)</f>
        <v>C37:C45</v>
      </c>
      <c r="C46" s="151"/>
      <c r="D46" s="151"/>
      <c r="E46" s="151"/>
      <c r="F46" s="151"/>
      <c r="G46" s="151"/>
      <c r="H46" s="122"/>
      <c r="I46" s="81" t="str">
        <f>B56</f>
        <v>Sponsor Information</v>
      </c>
      <c r="J46" s="140"/>
      <c r="K46" s="140"/>
      <c r="L46" s="140"/>
      <c r="M46" s="140"/>
      <c r="N46" s="140"/>
      <c r="O46" s="140"/>
      <c r="P46" s="140"/>
      <c r="Q46" s="140"/>
      <c r="R46" s="140"/>
      <c r="S46" s="140"/>
      <c r="T46" s="140"/>
      <c r="U46" s="140"/>
      <c r="V46" s="140"/>
      <c r="W46" s="140"/>
      <c r="X46" s="98" t="str">
        <f ca="1">"Status: "&amp;$B$74</f>
        <v>Status: Not Started</v>
      </c>
      <c r="Y46" s="122"/>
    </row>
    <row r="47" spans="1:25" ht="22.15" customHeight="1" x14ac:dyDescent="0.3">
      <c r="A47" s="160" t="s">
        <v>128</v>
      </c>
      <c r="B47" s="152">
        <f ca="1">COUNTIF(INDIRECT($B$46),2)</f>
        <v>0</v>
      </c>
      <c r="C47" s="151"/>
      <c r="D47" s="151"/>
      <c r="E47" s="151"/>
      <c r="F47" s="151"/>
      <c r="G47" s="151"/>
      <c r="H47" s="122"/>
      <c r="I47" s="122"/>
      <c r="J47" s="85"/>
      <c r="K47" s="122"/>
      <c r="L47" s="85"/>
      <c r="M47" s="122"/>
      <c r="N47" s="85"/>
      <c r="O47" s="122"/>
      <c r="P47" s="85"/>
      <c r="Q47" s="122"/>
      <c r="R47" s="85"/>
      <c r="S47" s="122"/>
      <c r="T47" s="85"/>
      <c r="U47" s="122"/>
      <c r="V47" s="85"/>
      <c r="W47" s="122"/>
      <c r="X47" s="85"/>
      <c r="Y47" s="122"/>
    </row>
    <row r="48" spans="1:25" ht="22.15" customHeight="1" x14ac:dyDescent="0.3">
      <c r="A48" s="160" t="s">
        <v>129</v>
      </c>
      <c r="B48" s="152">
        <f ca="1">COUNTIF(INDIRECT($B$46),0)+COUNTIF(INDIRECT($B$46),1)+COUNTIF(INDIRECT($B$46),2)</f>
        <v>9</v>
      </c>
      <c r="C48" s="151"/>
      <c r="D48" s="151"/>
      <c r="E48" s="151"/>
      <c r="F48" s="151"/>
      <c r="G48" s="151"/>
      <c r="H48" s="128"/>
      <c r="I48" s="120" t="s">
        <v>161</v>
      </c>
      <c r="J48" s="85"/>
      <c r="K48" s="122"/>
      <c r="L48" s="85"/>
      <c r="M48" s="122"/>
      <c r="N48" s="85"/>
      <c r="O48" s="122"/>
      <c r="P48" s="85"/>
      <c r="Q48" s="122"/>
      <c r="R48" s="85"/>
      <c r="S48" s="122"/>
      <c r="T48" s="85"/>
      <c r="U48" s="128"/>
      <c r="V48" s="85"/>
      <c r="W48" s="128"/>
      <c r="X48" s="85"/>
      <c r="Y48" s="128"/>
    </row>
    <row r="49" spans="1:25" ht="22.15" customHeight="1" x14ac:dyDescent="0.3">
      <c r="A49" s="160" t="s">
        <v>130</v>
      </c>
      <c r="B49" s="152">
        <f ca="1">COUNTIF(INDIRECT($B$46),0)</f>
        <v>0</v>
      </c>
      <c r="C49" s="151" t="s">
        <v>2300</v>
      </c>
      <c r="D49" s="151"/>
      <c r="E49" s="151"/>
      <c r="F49" s="151"/>
      <c r="G49" s="151"/>
      <c r="H49" s="128"/>
      <c r="I49" s="339"/>
      <c r="J49" s="367"/>
      <c r="K49" s="367"/>
      <c r="L49" s="367"/>
      <c r="M49" s="367"/>
      <c r="N49" s="367"/>
      <c r="O49" s="367"/>
      <c r="P49" s="367"/>
      <c r="Q49" s="367"/>
      <c r="R49" s="367"/>
      <c r="S49" s="367"/>
      <c r="T49" s="367"/>
      <c r="U49" s="367"/>
      <c r="V49" s="367"/>
      <c r="W49" s="368"/>
      <c r="X49" s="96">
        <f ca="1">G57</f>
        <v>1</v>
      </c>
      <c r="Y49" s="128"/>
    </row>
    <row r="50" spans="1:25" ht="22.15" customHeight="1" x14ac:dyDescent="0.3">
      <c r="A50" s="160" t="s">
        <v>131</v>
      </c>
      <c r="B50" s="161">
        <f ca="1">IFERROR(B47/B48,1.01)</f>
        <v>0</v>
      </c>
      <c r="C50" s="151"/>
      <c r="D50" s="151"/>
      <c r="E50" s="151"/>
      <c r="F50" s="151"/>
      <c r="G50" s="151"/>
      <c r="H50" s="128"/>
      <c r="I50" s="120" t="s">
        <v>2669</v>
      </c>
      <c r="J50" s="79"/>
      <c r="K50" s="120"/>
      <c r="L50" s="79"/>
      <c r="M50" s="120"/>
      <c r="N50" s="79"/>
      <c r="O50" s="128"/>
      <c r="P50" s="85"/>
      <c r="Q50" s="120" t="s">
        <v>174</v>
      </c>
      <c r="R50" s="79"/>
      <c r="S50" s="120"/>
      <c r="T50" s="79"/>
      <c r="U50" s="120"/>
      <c r="V50" s="79"/>
      <c r="W50" s="128"/>
      <c r="X50" s="96"/>
      <c r="Y50" s="128"/>
    </row>
    <row r="51" spans="1:25" ht="22.15" customHeight="1" x14ac:dyDescent="0.3">
      <c r="A51" s="160" t="s">
        <v>132</v>
      </c>
      <c r="B51" s="162" t="str">
        <f ca="1">IF(B49&gt;0,"Data Error(s)",IF(B50=0,"Not Started",IF(B50&lt;1,ROUNDUP(B50*100,0)&amp;"% Done",IF(B50&gt;1,"Optional","Complete"))))</f>
        <v>Not Started</v>
      </c>
      <c r="C51" s="151"/>
      <c r="D51" s="151"/>
      <c r="E51" s="151"/>
      <c r="F51" s="151"/>
      <c r="G51" s="151"/>
      <c r="H51" s="128"/>
      <c r="I51" s="369"/>
      <c r="J51" s="370"/>
      <c r="K51" s="370"/>
      <c r="L51" s="370"/>
      <c r="M51" s="370"/>
      <c r="N51" s="370"/>
      <c r="O51" s="371"/>
      <c r="P51" s="96">
        <f ca="1">G58</f>
        <v>1</v>
      </c>
      <c r="Q51" s="339"/>
      <c r="R51" s="367"/>
      <c r="S51" s="367"/>
      <c r="T51" s="367"/>
      <c r="U51" s="367"/>
      <c r="V51" s="367"/>
      <c r="W51" s="368"/>
      <c r="X51" s="96">
        <f ca="1">G59</f>
        <v>1</v>
      </c>
      <c r="Y51" s="128"/>
    </row>
    <row r="52" spans="1:25" ht="22.15" customHeight="1" x14ac:dyDescent="0.3">
      <c r="A52" s="160" t="s">
        <v>133</v>
      </c>
      <c r="B52" s="152" t="str">
        <f ca="1">IF(B49&gt;0,0,IF(B50&lt;1,"",2))</f>
        <v/>
      </c>
      <c r="C52" s="151"/>
      <c r="D52" s="151"/>
      <c r="E52" s="151"/>
      <c r="F52" s="151"/>
      <c r="G52" s="151"/>
      <c r="H52" s="128"/>
      <c r="I52" s="122" t="s">
        <v>175</v>
      </c>
      <c r="J52" s="85"/>
      <c r="K52" s="122"/>
      <c r="L52" s="85"/>
      <c r="M52" s="120"/>
      <c r="N52" s="79"/>
      <c r="O52" s="120" t="s">
        <v>53</v>
      </c>
      <c r="P52" s="79"/>
      <c r="Q52" s="120"/>
      <c r="R52" s="79"/>
      <c r="S52" s="120" t="s">
        <v>54</v>
      </c>
      <c r="T52" s="79"/>
      <c r="U52" s="120" t="s">
        <v>2323</v>
      </c>
      <c r="V52" s="79"/>
      <c r="W52" s="120"/>
      <c r="X52" s="79"/>
      <c r="Y52" s="128"/>
    </row>
    <row r="53" spans="1:25" ht="22.15" customHeight="1" x14ac:dyDescent="0.3">
      <c r="A53" s="160" t="s">
        <v>134</v>
      </c>
      <c r="B53" s="163" t="s">
        <v>2247</v>
      </c>
      <c r="C53" s="151"/>
      <c r="D53" s="151"/>
      <c r="E53" s="151"/>
      <c r="F53" s="151"/>
      <c r="G53" s="151"/>
      <c r="H53" s="128"/>
      <c r="I53" s="385"/>
      <c r="J53" s="394"/>
      <c r="K53" s="394"/>
      <c r="L53" s="394"/>
      <c r="M53" s="395"/>
      <c r="N53" s="96">
        <f ca="1">G60</f>
        <v>1</v>
      </c>
      <c r="O53" s="339"/>
      <c r="P53" s="367"/>
      <c r="Q53" s="368"/>
      <c r="R53" s="96">
        <f ca="1">G61</f>
        <v>1</v>
      </c>
      <c r="S53" s="172"/>
      <c r="T53" s="96">
        <f ca="1">G62</f>
        <v>1</v>
      </c>
      <c r="U53" s="126"/>
      <c r="V53" s="142" t="s">
        <v>55</v>
      </c>
      <c r="W53" s="127"/>
      <c r="X53" s="96">
        <f ca="1">G63</f>
        <v>1</v>
      </c>
      <c r="Y53" s="128"/>
    </row>
    <row r="54" spans="1:25" ht="22.15" customHeight="1" x14ac:dyDescent="0.3">
      <c r="A54" s="164" t="s">
        <v>2221</v>
      </c>
      <c r="B54" s="152">
        <v>0</v>
      </c>
      <c r="C54" s="151" t="s">
        <v>2284</v>
      </c>
      <c r="D54" s="151"/>
      <c r="E54" s="151"/>
      <c r="F54" s="151"/>
      <c r="G54" s="151"/>
      <c r="H54" s="128"/>
      <c r="I54" s="120" t="s">
        <v>2666</v>
      </c>
      <c r="J54" s="79"/>
      <c r="K54" s="120"/>
      <c r="L54" s="79"/>
      <c r="M54" s="120"/>
      <c r="N54" s="79"/>
      <c r="O54" s="120" t="s">
        <v>2670</v>
      </c>
      <c r="P54" s="79"/>
      <c r="Q54" s="120"/>
      <c r="R54" s="79"/>
      <c r="S54" s="120" t="s">
        <v>2671</v>
      </c>
      <c r="T54" s="79"/>
      <c r="U54" s="120"/>
      <c r="V54" s="79"/>
      <c r="W54" s="120"/>
      <c r="X54" s="79"/>
      <c r="Y54" s="77"/>
    </row>
    <row r="55" spans="1:25" ht="22.15" customHeight="1" x14ac:dyDescent="0.3">
      <c r="A55" s="164" t="s">
        <v>2222</v>
      </c>
      <c r="B55" s="152" t="b">
        <f>(B54&gt;0)</f>
        <v>0</v>
      </c>
      <c r="C55" s="151"/>
      <c r="D55" s="151"/>
      <c r="E55" s="151"/>
      <c r="F55" s="151"/>
      <c r="G55" s="151"/>
      <c r="H55" s="128"/>
      <c r="I55" s="356"/>
      <c r="J55" s="357"/>
      <c r="K55" s="357"/>
      <c r="L55" s="357"/>
      <c r="M55" s="358"/>
      <c r="N55" s="96">
        <f ca="1">G64</f>
        <v>1</v>
      </c>
      <c r="O55" s="364"/>
      <c r="P55" s="365"/>
      <c r="Q55" s="366"/>
      <c r="R55" s="96">
        <f ca="1">G65</f>
        <v>1</v>
      </c>
      <c r="S55" s="356"/>
      <c r="T55" s="357"/>
      <c r="U55" s="357"/>
      <c r="V55" s="357"/>
      <c r="W55" s="358"/>
      <c r="X55" s="96">
        <f ca="1">G66</f>
        <v>1</v>
      </c>
      <c r="Y55" s="77"/>
    </row>
    <row r="56" spans="1:25" ht="22.15" customHeight="1" x14ac:dyDescent="0.3">
      <c r="A56" s="155" t="s">
        <v>176</v>
      </c>
      <c r="B56" s="170" t="s">
        <v>2276</v>
      </c>
      <c r="C56" s="156"/>
      <c r="D56" s="157"/>
      <c r="E56" s="157"/>
      <c r="F56" s="157"/>
      <c r="G56" s="104" t="str">
        <f>B76</f>
        <v>Sponsor Information</v>
      </c>
      <c r="H56" s="128"/>
      <c r="I56" s="338" t="str">
        <f ca="1">D64</f>
        <v/>
      </c>
      <c r="J56" s="338"/>
      <c r="K56" s="338"/>
      <c r="L56" s="338"/>
      <c r="M56" s="338"/>
      <c r="N56" s="213"/>
      <c r="O56" s="212"/>
      <c r="P56" s="85"/>
      <c r="Q56" s="128"/>
      <c r="R56" s="85"/>
      <c r="S56" s="128"/>
      <c r="T56" s="85"/>
      <c r="U56" s="128"/>
      <c r="V56" s="85"/>
      <c r="W56" s="128"/>
      <c r="X56" s="85"/>
      <c r="Y56" s="128"/>
    </row>
    <row r="57" spans="1:25" ht="22.15" customHeight="1" x14ac:dyDescent="0.3">
      <c r="A57" s="143" t="s">
        <v>152</v>
      </c>
      <c r="B57" s="158" t="str">
        <f>IF(I49=0,"",I49)</f>
        <v/>
      </c>
      <c r="C57" s="151">
        <f ca="1">VLOOKUP(A57,DB_TBL_DATA_FIELDS[[FIELD_ID]:[PCT_CALC_FIELD_STATUS_CODE]],22,FALSE)</f>
        <v>1</v>
      </c>
      <c r="D57" s="151" t="str">
        <f>IF(VLOOKUP(A57,DB_TBL_DATA_FIELDS[[FIELD_ID]:[ERROR_MESSAGE]],23,FALSE)&lt;&gt;0,VLOOKUP(A57,DB_TBL_DATA_FIELDS[[FIELD_ID]:[ERROR_MESSAGE]],23,FALSE),"")</f>
        <v/>
      </c>
      <c r="E57" s="151">
        <f>VLOOKUP(A57,DB_TBL_DATA_FIELDS[[#All],[FIELD_ID]:[RANGE_VALIDATION_MAX]],18,FALSE)</f>
        <v>0</v>
      </c>
      <c r="F57" s="151">
        <f>VLOOKUP(A57,DB_TBL_DATA_FIELDS[[#All],[FIELD_ID]:[RANGE_VALIDATION_MAX]],19,FALSE)</f>
        <v>150</v>
      </c>
      <c r="G57" s="151">
        <f t="shared" ref="G57:G64" ca="1" si="5">IF(C57&lt;0,"",C57)</f>
        <v>1</v>
      </c>
      <c r="H57" s="135"/>
      <c r="I57" s="120" t="s">
        <v>2672</v>
      </c>
      <c r="J57" s="212"/>
      <c r="K57" s="212"/>
      <c r="L57" s="212"/>
      <c r="M57" s="212"/>
      <c r="N57" s="212"/>
      <c r="O57" s="212"/>
      <c r="P57" s="135"/>
      <c r="Q57" s="135"/>
      <c r="R57" s="135"/>
      <c r="S57" s="356"/>
      <c r="T57" s="357"/>
      <c r="U57" s="357"/>
      <c r="V57" s="357"/>
      <c r="W57" s="358"/>
      <c r="X57" s="96">
        <f ca="1">G67</f>
        <v>1</v>
      </c>
      <c r="Y57" s="135"/>
    </row>
    <row r="58" spans="1:25" ht="22.15" customHeight="1" x14ac:dyDescent="0.3">
      <c r="A58" s="143" t="s">
        <v>154</v>
      </c>
      <c r="B58" s="158" t="str">
        <f>IF(I51=0,"",I51)</f>
        <v/>
      </c>
      <c r="C58" s="151">
        <f ca="1">VLOOKUP(A58,DB_TBL_DATA_FIELDS[[FIELD_ID]:[PCT_CALC_FIELD_STATUS_CODE]],22,FALSE)</f>
        <v>1</v>
      </c>
      <c r="D58" s="151" t="str">
        <f>IF(VLOOKUP(A58,DB_TBL_DATA_FIELDS[[FIELD_ID]:[ERROR_MESSAGE]],23,FALSE)&lt;&gt;0,VLOOKUP(A58,DB_TBL_DATA_FIELDS[[FIELD_ID]:[ERROR_MESSAGE]],23,FALSE),"")</f>
        <v/>
      </c>
      <c r="E58" s="151">
        <f>VLOOKUP(A58,DB_TBL_DATA_FIELDS[[#All],[FIELD_ID]:[RANGE_VALIDATION_MAX]],18,FALSE)</f>
        <v>0</v>
      </c>
      <c r="F58" s="151">
        <f>VLOOKUP(A58,DB_TBL_DATA_FIELDS[[#All],[FIELD_ID]:[RANGE_VALIDATION_MAX]],19,FALSE)</f>
        <v>150</v>
      </c>
      <c r="G58" s="151">
        <f t="shared" ca="1" si="5"/>
        <v>1</v>
      </c>
      <c r="H58" s="135"/>
      <c r="I58" s="120"/>
      <c r="J58" s="212"/>
      <c r="K58" s="120"/>
      <c r="L58" s="212"/>
      <c r="M58" s="120"/>
      <c r="N58" s="212"/>
      <c r="O58" s="120"/>
      <c r="P58" s="212"/>
      <c r="Q58" s="120"/>
      <c r="R58" s="212"/>
      <c r="S58" s="120"/>
      <c r="T58" s="212"/>
      <c r="U58" s="120"/>
      <c r="V58" s="212"/>
      <c r="W58" s="120"/>
      <c r="X58" s="212"/>
      <c r="Y58" s="135"/>
    </row>
    <row r="59" spans="1:25" ht="22.15" customHeight="1" thickBot="1" x14ac:dyDescent="0.35">
      <c r="A59" s="143" t="s">
        <v>155</v>
      </c>
      <c r="B59" s="158" t="str">
        <f>IF(Q51=0,"",Q51)</f>
        <v/>
      </c>
      <c r="C59" s="151">
        <f ca="1">VLOOKUP(A59,DB_TBL_DATA_FIELDS[[FIELD_ID]:[PCT_CALC_FIELD_STATUS_CODE]],22,FALSE)</f>
        <v>1</v>
      </c>
      <c r="D59" s="151" t="str">
        <f>IF(VLOOKUP(A59,DB_TBL_DATA_FIELDS[[FIELD_ID]:[ERROR_MESSAGE]],23,FALSE)&lt;&gt;0,VLOOKUP(A59,DB_TBL_DATA_FIELDS[[FIELD_ID]:[ERROR_MESSAGE]],23,FALSE),"")</f>
        <v/>
      </c>
      <c r="E59" s="151">
        <f>VLOOKUP(A59,DB_TBL_DATA_FIELDS[[#All],[FIELD_ID]:[RANGE_VALIDATION_MAX]],18,FALSE)</f>
        <v>0</v>
      </c>
      <c r="F59" s="151">
        <f>VLOOKUP(A59,DB_TBL_DATA_FIELDS[[#All],[FIELD_ID]:[RANGE_VALIDATION_MAX]],19,FALSE)</f>
        <v>150</v>
      </c>
      <c r="G59" s="151">
        <f t="shared" ca="1" si="5"/>
        <v>1</v>
      </c>
      <c r="H59" s="135"/>
      <c r="I59" s="226" t="s">
        <v>2427</v>
      </c>
      <c r="J59" s="229"/>
      <c r="K59" s="229"/>
      <c r="L59" s="229"/>
      <c r="M59" s="229"/>
      <c r="N59" s="229"/>
      <c r="O59" s="229"/>
      <c r="P59" s="230"/>
      <c r="Q59" s="231"/>
      <c r="R59" s="230"/>
      <c r="S59" s="231"/>
      <c r="T59" s="230"/>
      <c r="U59" s="231"/>
      <c r="V59" s="230"/>
      <c r="W59" s="231"/>
      <c r="X59" s="212"/>
      <c r="Y59" s="135"/>
    </row>
    <row r="60" spans="1:25" ht="22.15" customHeight="1" x14ac:dyDescent="0.3">
      <c r="A60" s="143" t="s">
        <v>156</v>
      </c>
      <c r="B60" s="158" t="str">
        <f>IF(I53=0,"",I53)</f>
        <v/>
      </c>
      <c r="C60" s="151">
        <f ca="1">VLOOKUP(A60,DB_TBL_DATA_FIELDS[[FIELD_ID]:[PCT_CALC_FIELD_STATUS_CODE]],22,FALSE)</f>
        <v>1</v>
      </c>
      <c r="D60" s="151" t="str">
        <f>IF(VLOOKUP(A60,DB_TBL_DATA_FIELDS[[FIELD_ID]:[ERROR_MESSAGE]],23,FALSE)&lt;&gt;0,VLOOKUP(A60,DB_TBL_DATA_FIELDS[[FIELD_ID]:[ERROR_MESSAGE]],23,FALSE),"")</f>
        <v/>
      </c>
      <c r="E60" s="151">
        <f>VLOOKUP(A60,DB_TBL_DATA_FIELDS[[#All],[FIELD_ID]:[RANGE_VALIDATION_MAX]],18,FALSE)</f>
        <v>0</v>
      </c>
      <c r="F60" s="151">
        <f>VLOOKUP(A60,DB_TBL_DATA_FIELDS[[#All],[FIELD_ID]:[RANGE_VALIDATION_MAX]],19,FALSE)</f>
        <v>60</v>
      </c>
      <c r="G60" s="151">
        <f t="shared" ca="1" si="5"/>
        <v>1</v>
      </c>
      <c r="H60" s="135"/>
      <c r="X60" s="212"/>
      <c r="Y60" s="135"/>
    </row>
    <row r="61" spans="1:25" ht="22.15" customHeight="1" x14ac:dyDescent="0.3">
      <c r="A61" s="143" t="s">
        <v>157</v>
      </c>
      <c r="B61" s="158" t="str">
        <f>IF(O53=0,"",O53)</f>
        <v/>
      </c>
      <c r="C61" s="151">
        <f ca="1">VLOOKUP(A61,DB_TBL_DATA_FIELDS[[FIELD_ID]:[PCT_CALC_FIELD_STATUS_CODE]],22,FALSE)</f>
        <v>1</v>
      </c>
      <c r="D61" s="151" t="str">
        <f>IF(VLOOKUP(A61,DB_TBL_DATA_FIELDS[[FIELD_ID]:[ERROR_MESSAGE]],23,FALSE)&lt;&gt;0,VLOOKUP(A61,DB_TBL_DATA_FIELDS[[FIELD_ID]:[ERROR_MESSAGE]],23,FALSE),"")</f>
        <v/>
      </c>
      <c r="E61" s="151">
        <f>VLOOKUP(A61,DB_TBL_DATA_FIELDS[[#All],[FIELD_ID]:[RANGE_VALIDATION_MAX]],18,FALSE)</f>
        <v>0</v>
      </c>
      <c r="F61" s="151">
        <f>VLOOKUP(A61,DB_TBL_DATA_FIELDS[[#All],[FIELD_ID]:[RANGE_VALIDATION_MAX]],19,FALSE)</f>
        <v>30</v>
      </c>
      <c r="G61" s="151">
        <f t="shared" ca="1" si="5"/>
        <v>1</v>
      </c>
      <c r="H61" s="135"/>
      <c r="I61" s="314" t="s">
        <v>2745</v>
      </c>
      <c r="J61" s="212"/>
      <c r="K61" s="212"/>
      <c r="L61" s="212"/>
      <c r="M61" s="212"/>
      <c r="N61" s="212"/>
      <c r="O61" s="212"/>
      <c r="P61" s="135"/>
      <c r="Q61" s="135"/>
      <c r="R61" s="135"/>
      <c r="S61" s="135"/>
      <c r="T61" s="135"/>
      <c r="U61" s="135"/>
      <c r="V61" s="135"/>
      <c r="W61" s="211" t="str">
        <f>SUBSTITUTE(SUBSTITUTE(SUBSTITUTE(IF(LEN(B68)&gt;F68,CONFIG_CHAR_LIMIT_TEMPLATE_ERR,CONFIG_CHAR_LIMIT_TEMPLATE),"[diff]",ABS(LEN(B68)-F68)),"[limit]",F68),"[used]",LEN(B68))</f>
        <v>3000 character(s) remaining</v>
      </c>
      <c r="X61" s="135"/>
      <c r="Y61" s="135"/>
    </row>
    <row r="62" spans="1:25" ht="22.15" customHeight="1" x14ac:dyDescent="0.3">
      <c r="A62" s="143" t="s">
        <v>158</v>
      </c>
      <c r="B62" s="158" t="str">
        <f>IF(S53=0,"",S53)</f>
        <v/>
      </c>
      <c r="C62" s="151">
        <f ca="1">VLOOKUP(A62,DB_TBL_DATA_FIELDS[[FIELD_ID]:[PCT_CALC_FIELD_STATUS_CODE]],22,FALSE)</f>
        <v>1</v>
      </c>
      <c r="D62" s="151" t="str">
        <f>IF(VLOOKUP(A62,DB_TBL_DATA_FIELDS[[FIELD_ID]:[ERROR_MESSAGE]],23,FALSE)&lt;&gt;0,VLOOKUP(A62,DB_TBL_DATA_FIELDS[[FIELD_ID]:[ERROR_MESSAGE]],23,FALSE),"")</f>
        <v/>
      </c>
      <c r="E62" s="151">
        <f>VLOOKUP(A62,DB_TBL_DATA_FIELDS[[#All],[FIELD_ID]:[RANGE_VALIDATION_MAX]],18,FALSE)</f>
        <v>2</v>
      </c>
      <c r="F62" s="151">
        <f>VLOOKUP(A62,DB_TBL_DATA_FIELDS[[#All],[FIELD_ID]:[RANGE_VALIDATION_MAX]],19,FALSE)</f>
        <v>2</v>
      </c>
      <c r="G62" s="151">
        <f t="shared" ca="1" si="5"/>
        <v>1</v>
      </c>
      <c r="H62" s="135"/>
      <c r="I62" s="344"/>
      <c r="J62" s="345"/>
      <c r="K62" s="345"/>
      <c r="L62" s="345"/>
      <c r="M62" s="345"/>
      <c r="N62" s="345"/>
      <c r="O62" s="345"/>
      <c r="P62" s="345"/>
      <c r="Q62" s="345"/>
      <c r="R62" s="345"/>
      <c r="S62" s="345"/>
      <c r="T62" s="345"/>
      <c r="U62" s="345"/>
      <c r="V62" s="345"/>
      <c r="W62" s="346"/>
      <c r="X62" s="96">
        <f ca="1">G68</f>
        <v>1</v>
      </c>
      <c r="Y62" s="135"/>
    </row>
    <row r="63" spans="1:25" ht="22.15" customHeight="1" x14ac:dyDescent="0.3">
      <c r="A63" s="143" t="s">
        <v>159</v>
      </c>
      <c r="B63" s="159" t="str">
        <f>IF(AND(U53=0,W53=0),"",IF(U53&lt;&gt;0,TEXT(U53,"00000"),"")&amp;IF(W53&lt;&gt;0,"-"&amp;TEXT(W53,"0000"),""))</f>
        <v/>
      </c>
      <c r="C63" s="151">
        <f ca="1">VLOOKUP(A63,DB_TBL_DATA_FIELDS[[FIELD_ID]:[PCT_CALC_FIELD_STATUS_CODE]],22,FALSE)</f>
        <v>1</v>
      </c>
      <c r="D63" s="151" t="str">
        <f>IF(VLOOKUP(A63,DB_TBL_DATA_FIELDS[[FIELD_ID]:[ERROR_MESSAGE]],23,FALSE)&lt;&gt;0,VLOOKUP(A63,DB_TBL_DATA_FIELDS[[FIELD_ID]:[ERROR_MESSAGE]],23,FALSE),"")</f>
        <v/>
      </c>
      <c r="E63" s="151">
        <f>VLOOKUP(A63,DB_TBL_DATA_FIELDS[[#All],[FIELD_ID]:[RANGE_VALIDATION_MAX]],18,FALSE)</f>
        <v>5</v>
      </c>
      <c r="F63" s="151">
        <f>VLOOKUP(A63,DB_TBL_DATA_FIELDS[[#All],[FIELD_ID]:[RANGE_VALIDATION_MAX]],19,FALSE)</f>
        <v>10</v>
      </c>
      <c r="G63" s="151">
        <f t="shared" ca="1" si="5"/>
        <v>1</v>
      </c>
      <c r="H63" s="135"/>
      <c r="I63" s="360"/>
      <c r="J63" s="361"/>
      <c r="K63" s="361"/>
      <c r="L63" s="361"/>
      <c r="M63" s="361"/>
      <c r="N63" s="361"/>
      <c r="O63" s="361"/>
      <c r="P63" s="361"/>
      <c r="Q63" s="361"/>
      <c r="R63" s="361"/>
      <c r="S63" s="361"/>
      <c r="T63" s="361"/>
      <c r="U63" s="361"/>
      <c r="V63" s="361"/>
      <c r="W63" s="362"/>
      <c r="X63" s="135"/>
      <c r="Y63" s="135"/>
    </row>
    <row r="64" spans="1:25" ht="22.15" customHeight="1" x14ac:dyDescent="0.3">
      <c r="A64" s="143" t="s">
        <v>160</v>
      </c>
      <c r="B64" s="158" t="str">
        <f>IF(I55=0,"",I55)</f>
        <v/>
      </c>
      <c r="C64" s="151">
        <f ca="1">VLOOKUP(A64,DB_TBL_DATA_FIELDS[[FIELD_ID]:[PCT_CALC_FIELD_STATUS_CODE]],22,FALSE)</f>
        <v>1</v>
      </c>
      <c r="D64" s="151" t="str">
        <f ca="1">IF(VLOOKUP(A64,DB_TBL_DATA_FIELDS[[FIELD_ID]:[ERROR_MESSAGE]],23,FALSE)&lt;&gt;0,VLOOKUP(A64,DB_TBL_DATA_FIELDS[[FIELD_ID]:[ERROR_MESSAGE]],23,FALSE),"")</f>
        <v/>
      </c>
      <c r="E64" s="151">
        <f>VLOOKUP(A64,DB_TBL_DATA_FIELDS[[#All],[FIELD_ID]:[RANGE_VALIDATION_MAX]],18,FALSE)</f>
        <v>0</v>
      </c>
      <c r="F64" s="151">
        <f>VLOOKUP(A64,DB_TBL_DATA_FIELDS[[#All],[FIELD_ID]:[RANGE_VALIDATION_MAX]],19,FALSE)</f>
        <v>150</v>
      </c>
      <c r="G64" s="151">
        <f t="shared" ca="1" si="5"/>
        <v>1</v>
      </c>
      <c r="H64" s="135"/>
      <c r="I64" s="360"/>
      <c r="J64" s="361"/>
      <c r="K64" s="361"/>
      <c r="L64" s="361"/>
      <c r="M64" s="361"/>
      <c r="N64" s="361"/>
      <c r="O64" s="361"/>
      <c r="P64" s="361"/>
      <c r="Q64" s="361"/>
      <c r="R64" s="361"/>
      <c r="S64" s="361"/>
      <c r="T64" s="361"/>
      <c r="U64" s="361"/>
      <c r="V64" s="361"/>
      <c r="W64" s="362"/>
      <c r="X64" s="135"/>
      <c r="Y64" s="135"/>
    </row>
    <row r="65" spans="1:25" ht="22.15" customHeight="1" x14ac:dyDescent="0.3">
      <c r="A65" s="143" t="s">
        <v>153</v>
      </c>
      <c r="B65" s="158" t="str">
        <f>IF(O55=0,"",O55)</f>
        <v/>
      </c>
      <c r="C65" s="151">
        <f ca="1">VLOOKUP(A65,DB_TBL_DATA_FIELDS[[FIELD_ID]:[PCT_CALC_FIELD_STATUS_CODE]],22,FALSE)</f>
        <v>1</v>
      </c>
      <c r="D65" s="151" t="str">
        <f>IF(VLOOKUP(A65,DB_TBL_DATA_FIELDS[[FIELD_ID]:[ERROR_MESSAGE]],23,FALSE)&lt;&gt;0,VLOOKUP(A65,DB_TBL_DATA_FIELDS[[FIELD_ID]:[ERROR_MESSAGE]],23,FALSE),"")</f>
        <v/>
      </c>
      <c r="E65" s="151">
        <f>VLOOKUP(A65,DB_TBL_DATA_FIELDS[[#All],[FIELD_ID]:[RANGE_VALIDATION_MAX]],18,FALSE)</f>
        <v>0</v>
      </c>
      <c r="F65" s="151">
        <f>VLOOKUP(A65,DB_TBL_DATA_FIELDS[[#All],[FIELD_ID]:[RANGE_VALIDATION_MAX]],19,FALSE)</f>
        <v>150</v>
      </c>
      <c r="G65" s="151">
        <f ca="1">IF(C65&lt;0,"",C65)</f>
        <v>1</v>
      </c>
      <c r="H65" s="135"/>
      <c r="I65" s="360"/>
      <c r="J65" s="361"/>
      <c r="K65" s="361"/>
      <c r="L65" s="361"/>
      <c r="M65" s="361"/>
      <c r="N65" s="361"/>
      <c r="O65" s="361"/>
      <c r="P65" s="361"/>
      <c r="Q65" s="361"/>
      <c r="R65" s="361"/>
      <c r="S65" s="361"/>
      <c r="T65" s="361"/>
      <c r="U65" s="361"/>
      <c r="V65" s="361"/>
      <c r="W65" s="362"/>
      <c r="X65" s="135"/>
      <c r="Y65" s="135"/>
    </row>
    <row r="66" spans="1:25" ht="22.15" customHeight="1" x14ac:dyDescent="0.3">
      <c r="A66" s="143" t="s">
        <v>2420</v>
      </c>
      <c r="B66" s="158" t="str">
        <f>IF(S55=0,"",S55)</f>
        <v/>
      </c>
      <c r="C66" s="151">
        <f ca="1">VLOOKUP(A66,DB_TBL_DATA_FIELDS[[FIELD_ID]:[PCT_CALC_FIELD_STATUS_CODE]],22,FALSE)</f>
        <v>1</v>
      </c>
      <c r="D66" s="151" t="str">
        <f>IF(VLOOKUP(A66,DB_TBL_DATA_FIELDS[[FIELD_ID]:[ERROR_MESSAGE]],23,FALSE)&lt;&gt;0,VLOOKUP(A66,DB_TBL_DATA_FIELDS[[FIELD_ID]:[ERROR_MESSAGE]],23,FALSE),"")</f>
        <v/>
      </c>
      <c r="E66" s="151">
        <f>VLOOKUP(A66,DB_TBL_DATA_FIELDS[[#All],[FIELD_ID]:[RANGE_VALIDATION_MAX]],18,FALSE)</f>
        <v>0</v>
      </c>
      <c r="F66" s="151">
        <f>VLOOKUP(A66,DB_TBL_DATA_FIELDS[[#All],[FIELD_ID]:[RANGE_VALIDATION_MAX]],19,FALSE)</f>
        <v>500</v>
      </c>
      <c r="G66" s="151">
        <f ca="1">IF(C66&lt;0,"",C66)</f>
        <v>1</v>
      </c>
      <c r="H66" s="135"/>
      <c r="I66" s="360"/>
      <c r="J66" s="361"/>
      <c r="K66" s="361"/>
      <c r="L66" s="361"/>
      <c r="M66" s="361"/>
      <c r="N66" s="361"/>
      <c r="O66" s="361"/>
      <c r="P66" s="361"/>
      <c r="Q66" s="361"/>
      <c r="R66" s="361"/>
      <c r="S66" s="361"/>
      <c r="T66" s="361"/>
      <c r="U66" s="361"/>
      <c r="V66" s="361"/>
      <c r="W66" s="362"/>
      <c r="X66" s="135"/>
      <c r="Y66" s="135"/>
    </row>
    <row r="67" spans="1:25" ht="22.15" customHeight="1" x14ac:dyDescent="0.3">
      <c r="A67" s="143" t="s">
        <v>2424</v>
      </c>
      <c r="B67" s="158" t="str">
        <f>IF(S57=0,"",S57)</f>
        <v/>
      </c>
      <c r="C67" s="151">
        <f ca="1">VLOOKUP(A67,DB_TBL_DATA_FIELDS[[FIELD_ID]:[PCT_CALC_FIELD_STATUS_CODE]],22,FALSE)</f>
        <v>1</v>
      </c>
      <c r="D67" s="151" t="str">
        <f>IF(VLOOKUP(A67,DB_TBL_DATA_FIELDS[[FIELD_ID]:[ERROR_MESSAGE]],23,FALSE)&lt;&gt;0,VLOOKUP(A67,DB_TBL_DATA_FIELDS[[FIELD_ID]:[ERROR_MESSAGE]],23,FALSE),"")</f>
        <v/>
      </c>
      <c r="E67" s="151">
        <f>VLOOKUP(A67,DB_TBL_DATA_FIELDS[[#All],[FIELD_ID]:[RANGE_VALIDATION_MAX]],18,FALSE)</f>
        <v>0</v>
      </c>
      <c r="F67" s="151">
        <f>VLOOKUP(A67,DB_TBL_DATA_FIELDS[[#All],[FIELD_ID]:[RANGE_VALIDATION_MAX]],19,FALSE)</f>
        <v>500</v>
      </c>
      <c r="G67" s="151">
        <f t="shared" ref="G67:G68" ca="1" si="6">IF(C67&lt;0,"",C67)</f>
        <v>1</v>
      </c>
      <c r="H67" s="135"/>
      <c r="I67" s="360"/>
      <c r="J67" s="361"/>
      <c r="K67" s="361"/>
      <c r="L67" s="361"/>
      <c r="M67" s="361"/>
      <c r="N67" s="361"/>
      <c r="O67" s="361"/>
      <c r="P67" s="361"/>
      <c r="Q67" s="361"/>
      <c r="R67" s="361"/>
      <c r="S67" s="361"/>
      <c r="T67" s="361"/>
      <c r="U67" s="361"/>
      <c r="V67" s="361"/>
      <c r="W67" s="362"/>
      <c r="X67" s="135"/>
      <c r="Y67" s="135"/>
    </row>
    <row r="68" spans="1:25" ht="22.15" customHeight="1" x14ac:dyDescent="0.3">
      <c r="A68" s="143" t="s">
        <v>2425</v>
      </c>
      <c r="B68" s="158" t="str">
        <f>IF(I62=0,"",I62)</f>
        <v/>
      </c>
      <c r="C68" s="151">
        <f ca="1">VLOOKUP(A68,DB_TBL_DATA_FIELDS[[FIELD_ID]:[PCT_CALC_FIELD_STATUS_CODE]],22,FALSE)</f>
        <v>1</v>
      </c>
      <c r="D68" s="151" t="str">
        <f>IF(VLOOKUP(A68,DB_TBL_DATA_FIELDS[[FIELD_ID]:[ERROR_MESSAGE]],23,FALSE)&lt;&gt;0,VLOOKUP(A68,DB_TBL_DATA_FIELDS[[FIELD_ID]:[ERROR_MESSAGE]],23,FALSE),"")</f>
        <v/>
      </c>
      <c r="E68" s="151">
        <f>VLOOKUP(A68,DB_TBL_DATA_FIELDS[[#All],[FIELD_ID]:[RANGE_VALIDATION_MAX]],18,FALSE)</f>
        <v>0</v>
      </c>
      <c r="F68" s="151">
        <f>VLOOKUP(A68,DB_TBL_DATA_FIELDS[[#All],[FIELD_ID]:[RANGE_VALIDATION_MAX]],19,FALSE)</f>
        <v>3000</v>
      </c>
      <c r="G68" s="151">
        <f t="shared" ca="1" si="6"/>
        <v>1</v>
      </c>
      <c r="H68" s="135"/>
      <c r="I68" s="360"/>
      <c r="J68" s="361"/>
      <c r="K68" s="361"/>
      <c r="L68" s="361"/>
      <c r="M68" s="361"/>
      <c r="N68" s="361"/>
      <c r="O68" s="361"/>
      <c r="P68" s="361"/>
      <c r="Q68" s="361"/>
      <c r="R68" s="361"/>
      <c r="S68" s="361"/>
      <c r="T68" s="361"/>
      <c r="U68" s="361"/>
      <c r="V68" s="361"/>
      <c r="W68" s="362"/>
      <c r="X68" s="135"/>
      <c r="Y68" s="135"/>
    </row>
    <row r="69" spans="1:25" ht="22.15" customHeight="1" x14ac:dyDescent="0.3">
      <c r="A69" s="160" t="s">
        <v>177</v>
      </c>
      <c r="B69" s="152" t="str">
        <f>"C"&amp;MATCH(LEFT(A69,LEN(A69)-LEN("_RANGE")),A:A,0)+1&amp;":C"&amp;(ROW()-1)</f>
        <v>C57:C68</v>
      </c>
      <c r="C69" s="151"/>
      <c r="D69" s="151"/>
      <c r="E69" s="151"/>
      <c r="F69" s="151"/>
      <c r="G69" s="151"/>
      <c r="H69" s="135"/>
      <c r="I69" s="360"/>
      <c r="J69" s="361"/>
      <c r="K69" s="361"/>
      <c r="L69" s="361"/>
      <c r="M69" s="361"/>
      <c r="N69" s="361"/>
      <c r="O69" s="361"/>
      <c r="P69" s="361"/>
      <c r="Q69" s="361"/>
      <c r="R69" s="361"/>
      <c r="S69" s="361"/>
      <c r="T69" s="361"/>
      <c r="U69" s="361"/>
      <c r="V69" s="361"/>
      <c r="W69" s="362"/>
      <c r="X69" s="135"/>
      <c r="Y69" s="135"/>
    </row>
    <row r="70" spans="1:25" ht="22.15" customHeight="1" x14ac:dyDescent="0.3">
      <c r="A70" s="160" t="s">
        <v>178</v>
      </c>
      <c r="B70" s="152">
        <f ca="1">COUNTIF(INDIRECT($B69),2)</f>
        <v>0</v>
      </c>
      <c r="C70" s="151"/>
      <c r="D70" s="151"/>
      <c r="E70" s="151"/>
      <c r="F70" s="151"/>
      <c r="G70" s="151"/>
      <c r="H70" s="135"/>
      <c r="I70" s="360"/>
      <c r="J70" s="361"/>
      <c r="K70" s="361"/>
      <c r="L70" s="361"/>
      <c r="M70" s="361"/>
      <c r="N70" s="361"/>
      <c r="O70" s="361"/>
      <c r="P70" s="361"/>
      <c r="Q70" s="361"/>
      <c r="R70" s="361"/>
      <c r="S70" s="361"/>
      <c r="T70" s="361"/>
      <c r="U70" s="361"/>
      <c r="V70" s="361"/>
      <c r="W70" s="362"/>
      <c r="X70" s="135"/>
      <c r="Y70" s="135"/>
    </row>
    <row r="71" spans="1:25" ht="22.15" customHeight="1" x14ac:dyDescent="0.3">
      <c r="A71" s="160" t="s">
        <v>179</v>
      </c>
      <c r="B71" s="152">
        <f ca="1">COUNTIF(INDIRECT($B69),0)+COUNTIF(INDIRECT($B69),1)+COUNTIF(INDIRECT($B69),2)</f>
        <v>12</v>
      </c>
      <c r="C71" s="151"/>
      <c r="D71" s="151"/>
      <c r="E71" s="151"/>
      <c r="F71" s="151"/>
      <c r="G71" s="151"/>
      <c r="H71" s="135"/>
      <c r="I71" s="360"/>
      <c r="J71" s="361"/>
      <c r="K71" s="361"/>
      <c r="L71" s="361"/>
      <c r="M71" s="361"/>
      <c r="N71" s="361"/>
      <c r="O71" s="361"/>
      <c r="P71" s="361"/>
      <c r="Q71" s="361"/>
      <c r="R71" s="361"/>
      <c r="S71" s="361"/>
      <c r="T71" s="361"/>
      <c r="U71" s="361"/>
      <c r="V71" s="361"/>
      <c r="W71" s="362"/>
      <c r="X71" s="135"/>
      <c r="Y71" s="135"/>
    </row>
    <row r="72" spans="1:25" ht="22.15" customHeight="1" x14ac:dyDescent="0.3">
      <c r="A72" s="160" t="s">
        <v>180</v>
      </c>
      <c r="B72" s="152">
        <f ca="1">COUNTIF(INDIRECT($B69),0)</f>
        <v>0</v>
      </c>
      <c r="C72" s="151" t="s">
        <v>2300</v>
      </c>
      <c r="D72" s="151"/>
      <c r="E72" s="151"/>
      <c r="F72" s="151"/>
      <c r="G72" s="151"/>
      <c r="H72" s="135"/>
      <c r="I72" s="360"/>
      <c r="J72" s="361"/>
      <c r="K72" s="361"/>
      <c r="L72" s="361"/>
      <c r="M72" s="361"/>
      <c r="N72" s="361"/>
      <c r="O72" s="361"/>
      <c r="P72" s="361"/>
      <c r="Q72" s="361"/>
      <c r="R72" s="361"/>
      <c r="S72" s="361"/>
      <c r="T72" s="361"/>
      <c r="U72" s="361"/>
      <c r="V72" s="361"/>
      <c r="W72" s="362"/>
      <c r="X72" s="135"/>
      <c r="Y72" s="135"/>
    </row>
    <row r="73" spans="1:25" ht="22.15" customHeight="1" x14ac:dyDescent="0.3">
      <c r="A73" s="160" t="s">
        <v>181</v>
      </c>
      <c r="B73" s="161">
        <f ca="1">IFERROR(B70/B71,1.01)</f>
        <v>0</v>
      </c>
      <c r="C73" s="151"/>
      <c r="D73" s="151"/>
      <c r="E73" s="151"/>
      <c r="F73" s="151"/>
      <c r="G73" s="151"/>
      <c r="H73" s="135"/>
      <c r="I73" s="360"/>
      <c r="J73" s="361"/>
      <c r="K73" s="361"/>
      <c r="L73" s="361"/>
      <c r="M73" s="361"/>
      <c r="N73" s="361"/>
      <c r="O73" s="361"/>
      <c r="P73" s="361"/>
      <c r="Q73" s="361"/>
      <c r="R73" s="361"/>
      <c r="S73" s="361"/>
      <c r="T73" s="361"/>
      <c r="U73" s="361"/>
      <c r="V73" s="361"/>
      <c r="W73" s="362"/>
      <c r="X73" s="135"/>
      <c r="Y73" s="135"/>
    </row>
    <row r="74" spans="1:25" ht="22.15" customHeight="1" x14ac:dyDescent="0.3">
      <c r="A74" s="160" t="s">
        <v>182</v>
      </c>
      <c r="B74" s="162" t="str">
        <f ca="1">IF(B72&gt;0,"Data Error(s)",IF(B73=0,"Not Started",IF(B73&lt;1,ROUNDUP(B73*100,0)&amp;"% Done",IF(B73&gt;1,"Optional","Complete"))))</f>
        <v>Not Started</v>
      </c>
      <c r="C74" s="151"/>
      <c r="D74" s="151"/>
      <c r="E74" s="151"/>
      <c r="F74" s="151"/>
      <c r="G74" s="151"/>
      <c r="H74" s="135"/>
      <c r="I74" s="360"/>
      <c r="J74" s="361"/>
      <c r="K74" s="361"/>
      <c r="L74" s="361"/>
      <c r="M74" s="361"/>
      <c r="N74" s="361"/>
      <c r="O74" s="361"/>
      <c r="P74" s="361"/>
      <c r="Q74" s="361"/>
      <c r="R74" s="361"/>
      <c r="S74" s="361"/>
      <c r="T74" s="361"/>
      <c r="U74" s="361"/>
      <c r="V74" s="361"/>
      <c r="W74" s="362"/>
      <c r="X74" s="135"/>
      <c r="Y74" s="135"/>
    </row>
    <row r="75" spans="1:25" ht="22.15" customHeight="1" x14ac:dyDescent="0.3">
      <c r="A75" s="160" t="s">
        <v>183</v>
      </c>
      <c r="B75" s="152" t="str">
        <f ca="1">IF(B72&gt;0,0,IF(B73&lt;1,"",2))</f>
        <v/>
      </c>
      <c r="C75" s="151"/>
      <c r="D75" s="151"/>
      <c r="E75" s="151"/>
      <c r="F75" s="151"/>
      <c r="G75" s="151"/>
      <c r="H75" s="135"/>
      <c r="I75" s="360"/>
      <c r="J75" s="361"/>
      <c r="K75" s="361"/>
      <c r="L75" s="361"/>
      <c r="M75" s="361"/>
      <c r="N75" s="361"/>
      <c r="O75" s="361"/>
      <c r="P75" s="361"/>
      <c r="Q75" s="361"/>
      <c r="R75" s="361"/>
      <c r="S75" s="361"/>
      <c r="T75" s="361"/>
      <c r="U75" s="361"/>
      <c r="V75" s="361"/>
      <c r="W75" s="362"/>
      <c r="X75" s="135"/>
      <c r="Y75" s="135"/>
    </row>
    <row r="76" spans="1:25" ht="22.15" customHeight="1" x14ac:dyDescent="0.3">
      <c r="A76" s="160" t="s">
        <v>184</v>
      </c>
      <c r="B76" s="163" t="s">
        <v>2276</v>
      </c>
      <c r="C76" s="151"/>
      <c r="D76" s="151"/>
      <c r="E76" s="151"/>
      <c r="F76" s="151"/>
      <c r="G76" s="151"/>
      <c r="H76" s="135"/>
      <c r="I76" s="360"/>
      <c r="J76" s="361"/>
      <c r="K76" s="361"/>
      <c r="L76" s="361"/>
      <c r="M76" s="361"/>
      <c r="N76" s="361"/>
      <c r="O76" s="361"/>
      <c r="P76" s="361"/>
      <c r="Q76" s="361"/>
      <c r="R76" s="361"/>
      <c r="S76" s="361"/>
      <c r="T76" s="361"/>
      <c r="U76" s="361"/>
      <c r="V76" s="361"/>
      <c r="W76" s="362"/>
      <c r="X76" s="135"/>
      <c r="Y76" s="135"/>
    </row>
    <row r="77" spans="1:25" ht="22.15" customHeight="1" x14ac:dyDescent="0.3">
      <c r="A77" s="164" t="s">
        <v>2219</v>
      </c>
      <c r="B77" s="152">
        <v>0</v>
      </c>
      <c r="C77" s="151" t="s">
        <v>2284</v>
      </c>
      <c r="D77" s="151"/>
      <c r="E77" s="151"/>
      <c r="F77" s="151"/>
      <c r="G77" s="151"/>
      <c r="H77" s="135"/>
      <c r="I77" s="360"/>
      <c r="J77" s="361"/>
      <c r="K77" s="361"/>
      <c r="L77" s="361"/>
      <c r="M77" s="361"/>
      <c r="N77" s="361"/>
      <c r="O77" s="361"/>
      <c r="P77" s="361"/>
      <c r="Q77" s="361"/>
      <c r="R77" s="361"/>
      <c r="S77" s="361"/>
      <c r="T77" s="361"/>
      <c r="U77" s="361"/>
      <c r="V77" s="361"/>
      <c r="W77" s="362"/>
      <c r="X77" s="135"/>
      <c r="Y77" s="135"/>
    </row>
    <row r="78" spans="1:25" ht="22.15" customHeight="1" x14ac:dyDescent="0.3">
      <c r="A78" s="164" t="s">
        <v>2220</v>
      </c>
      <c r="B78" s="152" t="b">
        <f>(B77&gt;0)</f>
        <v>0</v>
      </c>
      <c r="C78" s="151"/>
      <c r="D78" s="151"/>
      <c r="E78" s="151"/>
      <c r="F78" s="151"/>
      <c r="G78" s="151"/>
      <c r="H78" s="135"/>
      <c r="I78" s="347"/>
      <c r="J78" s="348"/>
      <c r="K78" s="348"/>
      <c r="L78" s="348"/>
      <c r="M78" s="348"/>
      <c r="N78" s="348"/>
      <c r="O78" s="348"/>
      <c r="P78" s="348"/>
      <c r="Q78" s="348"/>
      <c r="R78" s="348"/>
      <c r="S78" s="348"/>
      <c r="T78" s="348"/>
      <c r="U78" s="348"/>
      <c r="V78" s="348"/>
      <c r="W78" s="349"/>
      <c r="X78" s="135"/>
      <c r="Y78" s="135"/>
    </row>
    <row r="79" spans="1:25" ht="22.15" customHeight="1" x14ac:dyDescent="0.3">
      <c r="A79" s="155" t="s">
        <v>187</v>
      </c>
      <c r="B79" s="170" t="s">
        <v>2376</v>
      </c>
      <c r="C79" s="156"/>
      <c r="D79" s="157"/>
      <c r="E79" s="157"/>
      <c r="F79" s="157"/>
      <c r="G79" s="104" t="s">
        <v>2376</v>
      </c>
      <c r="H79" s="135"/>
      <c r="I79" s="212"/>
      <c r="J79" s="212"/>
      <c r="K79" s="212"/>
      <c r="L79" s="212"/>
      <c r="M79" s="212"/>
      <c r="N79" s="212"/>
      <c r="O79" s="212"/>
      <c r="P79" s="135"/>
      <c r="Q79" s="135"/>
      <c r="R79" s="135"/>
      <c r="S79" s="135"/>
      <c r="T79" s="135"/>
      <c r="U79" s="135"/>
      <c r="V79" s="135"/>
      <c r="W79" s="135"/>
      <c r="X79" s="135"/>
      <c r="Y79" s="128"/>
    </row>
    <row r="80" spans="1:25" ht="22.15" customHeight="1" thickBot="1" x14ac:dyDescent="0.35">
      <c r="A80" s="143" t="s">
        <v>2428</v>
      </c>
      <c r="B80" s="158" t="str">
        <f>IF(U83&lt;&gt;"",U83,"")</f>
        <v/>
      </c>
      <c r="C80" s="151">
        <f ca="1">VLOOKUP(A80,DB_TBL_DATA_FIELDS[[FIELD_ID]:[PCT_CALC_FIELD_STATUS_CODE]],22,FALSE)</f>
        <v>1</v>
      </c>
      <c r="D80" s="151" t="str">
        <f ca="1">IF(VLOOKUP(A80,DB_TBL_DATA_FIELDS[[FIELD_ID]:[ERROR_MESSAGE]],23,FALSE)&lt;&gt;0,VLOOKUP(A80,DB_TBL_DATA_FIELDS[[FIELD_ID]:[ERROR_MESSAGE]],23,FALSE),"")</f>
        <v/>
      </c>
      <c r="E80" s="151">
        <f>VLOOKUP(A80,DB_TBL_DATA_FIELDS[[#All],[FIELD_ID]:[RANGE_VALIDATION_MAX]],18,FALSE)</f>
        <v>1</v>
      </c>
      <c r="F80" s="151">
        <f>VLOOKUP(A80,DB_TBL_DATA_FIELDS[[#All],[FIELD_ID]:[RANGE_VALIDATION_MAX]],19,FALSE)</f>
        <v>200000</v>
      </c>
      <c r="G80" s="151">
        <f t="shared" ref="G80" ca="1" si="7">IF(C80&lt;0,"",C80)</f>
        <v>1</v>
      </c>
      <c r="H80" s="128"/>
      <c r="I80" s="81" t="str">
        <f>B79</f>
        <v>AHEAD Grant</v>
      </c>
      <c r="J80" s="140"/>
      <c r="K80" s="140"/>
      <c r="L80" s="140"/>
      <c r="M80" s="140"/>
      <c r="N80" s="140"/>
      <c r="O80" s="140"/>
      <c r="P80" s="140"/>
      <c r="Q80" s="140"/>
      <c r="R80" s="140"/>
      <c r="S80" s="140"/>
      <c r="T80" s="140"/>
      <c r="U80" s="140"/>
      <c r="V80" s="140"/>
      <c r="W80" s="140"/>
      <c r="X80" s="98" t="str">
        <f ca="1">"Status: "&amp;$B$104</f>
        <v>Status: Not Started</v>
      </c>
      <c r="Y80" s="128"/>
    </row>
    <row r="81" spans="1:25" ht="22.15" customHeight="1" x14ac:dyDescent="0.3">
      <c r="A81" s="143" t="s">
        <v>2431</v>
      </c>
      <c r="B81" s="158" t="str">
        <f>IF(U84&lt;&gt;"",U84,"")</f>
        <v/>
      </c>
      <c r="C81" s="151">
        <f ca="1">VLOOKUP(A81,DB_TBL_DATA_FIELDS[[FIELD_ID]:[PCT_CALC_FIELD_STATUS_CODE]],22,FALSE)</f>
        <v>1</v>
      </c>
      <c r="D81" s="151" t="str">
        <f>IF(VLOOKUP(A81,DB_TBL_DATA_FIELDS[[FIELD_ID]:[ERROR_MESSAGE]],23,FALSE)&lt;&gt;0,VLOOKUP(A81,DB_TBL_DATA_FIELDS[[FIELD_ID]:[ERROR_MESSAGE]],23,FALSE),"")</f>
        <v/>
      </c>
      <c r="E81" s="151">
        <f>VLOOKUP(A81,DB_TBL_DATA_FIELDS[[#All],[FIELD_ID]:[RANGE_VALIDATION_MAX]],18,FALSE)</f>
        <v>0</v>
      </c>
      <c r="F81" s="151">
        <f>VLOOKUP(A81,DB_TBL_DATA_FIELDS[[#All],[FIELD_ID]:[RANGE_VALIDATION_MAX]],19,FALSE)</f>
        <v>32767</v>
      </c>
      <c r="G81" s="151">
        <f t="shared" ref="G81:G98" ca="1" si="8">IF(C81&lt;0,"",C81)</f>
        <v>1</v>
      </c>
      <c r="H81" s="128"/>
      <c r="I81" s="107"/>
      <c r="J81" s="107"/>
      <c r="K81" s="107"/>
      <c r="L81" s="107"/>
      <c r="M81" s="107"/>
      <c r="N81" s="107"/>
      <c r="O81" s="128"/>
      <c r="P81" s="128"/>
      <c r="Q81" s="128"/>
      <c r="R81" s="128"/>
      <c r="S81" s="128"/>
      <c r="T81" s="128"/>
      <c r="U81" s="128"/>
      <c r="V81" s="128"/>
      <c r="W81" s="128"/>
      <c r="X81" s="85"/>
      <c r="Y81" s="128"/>
    </row>
    <row r="82" spans="1:25" ht="22.15" customHeight="1" x14ac:dyDescent="0.3">
      <c r="A82" s="143" t="s">
        <v>2432</v>
      </c>
      <c r="B82" s="158" t="str">
        <f>IF(U85&lt;&gt;"",U85,"")</f>
        <v/>
      </c>
      <c r="C82" s="151">
        <f ca="1">VLOOKUP(A82,DB_TBL_DATA_FIELDS[[FIELD_ID]:[PCT_CALC_FIELD_STATUS_CODE]],22,FALSE)</f>
        <v>1</v>
      </c>
      <c r="D82" s="151" t="str">
        <f>IF(VLOOKUP(A82,DB_TBL_DATA_FIELDS[[FIELD_ID]:[ERROR_MESSAGE]],23,FALSE)&lt;&gt;0,VLOOKUP(A82,DB_TBL_DATA_FIELDS[[FIELD_ID]:[ERROR_MESSAGE]],23,FALSE),"")</f>
        <v/>
      </c>
      <c r="E82" s="151">
        <f>VLOOKUP(A82,DB_TBL_DATA_FIELDS[[#All],[FIELD_ID]:[RANGE_VALIDATION_MAX]],18,FALSE)</f>
        <v>0</v>
      </c>
      <c r="F82" s="151">
        <f>VLOOKUP(A82,DB_TBL_DATA_FIELDS[[#All],[FIELD_ID]:[RANGE_VALIDATION_MAX]],19,FALSE)</f>
        <v>32767</v>
      </c>
      <c r="G82" s="151">
        <f t="shared" ca="1" si="8"/>
        <v>1</v>
      </c>
      <c r="H82" s="128"/>
      <c r="J82" s="85"/>
      <c r="K82" s="128"/>
      <c r="L82" s="118"/>
      <c r="M82" s="108"/>
      <c r="N82" s="85"/>
      <c r="X82" s="85"/>
      <c r="Y82" s="128"/>
    </row>
    <row r="83" spans="1:25" ht="22.15" customHeight="1" x14ac:dyDescent="0.3">
      <c r="A83" s="143" t="s">
        <v>2433</v>
      </c>
      <c r="B83" s="158" t="str">
        <f>IF(W87="","",IF(UPPER(W87)="YES",TRUE,FALSE))</f>
        <v/>
      </c>
      <c r="C83" s="151">
        <f ca="1">VLOOKUP(A83,DB_TBL_DATA_FIELDS[[FIELD_ID]:[PCT_CALC_FIELD_STATUS_CODE]],22,FALSE)</f>
        <v>1</v>
      </c>
      <c r="D83" s="151" t="str">
        <f>IF(VLOOKUP(A83,DB_TBL_DATA_FIELDS[[FIELD_ID]:[ERROR_MESSAGE]],23,FALSE)&lt;&gt;0,VLOOKUP(A83,DB_TBL_DATA_FIELDS[[FIELD_ID]:[ERROR_MESSAGE]],23,FALSE),"")</f>
        <v/>
      </c>
      <c r="E83" s="151">
        <f>VLOOKUP(A83,DB_TBL_DATA_FIELDS[[#All],[FIELD_ID]:[RANGE_VALIDATION_MAX]],18,FALSE)</f>
        <v>0</v>
      </c>
      <c r="F83" s="151">
        <f>VLOOKUP(A83,DB_TBL_DATA_FIELDS[[#All],[FIELD_ID]:[RANGE_VALIDATION_MAX]],19,FALSE)</f>
        <v>0</v>
      </c>
      <c r="G83" s="151">
        <f t="shared" ca="1" si="8"/>
        <v>1</v>
      </c>
      <c r="H83" s="128"/>
      <c r="I83" s="122" t="str">
        <f>"Grant Amount Requested (not to exceed "&amp;TEXT('$DB.CONFIG'!D8,"$#,###")&amp;")"</f>
        <v>Grant Amount Requested (not to exceed $200,000)</v>
      </c>
      <c r="U83" s="352"/>
      <c r="V83" s="353"/>
      <c r="W83" s="354"/>
      <c r="X83" s="96">
        <f ca="1">G80</f>
        <v>1</v>
      </c>
      <c r="Y83" s="128"/>
    </row>
    <row r="84" spans="1:25" ht="22.15" customHeight="1" x14ac:dyDescent="0.3">
      <c r="A84" s="143" t="s">
        <v>2832</v>
      </c>
      <c r="B84" s="158" t="str">
        <f>IF(I90="","",TEXT(I90,"####"))</f>
        <v/>
      </c>
      <c r="C84" s="151">
        <f ca="1">VLOOKUP(A84,DB_TBL_DATA_FIELDS[[FIELD_ID]:[PCT_CALC_FIELD_STATUS_CODE]],22,FALSE)</f>
        <v>-1</v>
      </c>
      <c r="D84" s="151" t="str">
        <f>IF(VLOOKUP(A84,DB_TBL_DATA_FIELDS[[FIELD_ID]:[ERROR_MESSAGE]],23,FALSE)&lt;&gt;0,VLOOKUP(A84,DB_TBL_DATA_FIELDS[[FIELD_ID]:[ERROR_MESSAGE]],23,FALSE),"")</f>
        <v/>
      </c>
      <c r="E84" s="151">
        <f>VLOOKUP(A84,DB_TBL_DATA_FIELDS[[#All],[FIELD_ID]:[RANGE_VALIDATION_MAX]],18,FALSE)</f>
        <v>0</v>
      </c>
      <c r="F84" s="151">
        <f>VLOOKUP(A84,DB_TBL_DATA_FIELDS[[#All],[FIELD_ID]:[RANGE_VALIDATION_MAX]],19,FALSE)</f>
        <v>7</v>
      </c>
      <c r="G84" s="151" t="str">
        <f t="shared" ca="1" si="8"/>
        <v/>
      </c>
      <c r="H84" s="128"/>
      <c r="I84" s="122" t="str">
        <f>"Project Start Date (must be on or after the earliest award date of "&amp;TEXT(CONFIG_EARLIEST_AWARD_DATE,"MM/DD/YY")&amp;")"</f>
        <v>Project Start Date (must be on or after the earliest award date of 09/01/26)</v>
      </c>
      <c r="N84" s="85"/>
      <c r="S84" s="128"/>
      <c r="T84" s="85"/>
      <c r="U84" s="376"/>
      <c r="V84" s="377"/>
      <c r="W84" s="378"/>
      <c r="X84" s="96">
        <f ca="1">G81</f>
        <v>1</v>
      </c>
      <c r="Y84" s="128"/>
    </row>
    <row r="85" spans="1:25" ht="22.15" customHeight="1" x14ac:dyDescent="0.3">
      <c r="A85" s="143" t="s">
        <v>2437</v>
      </c>
      <c r="B85" s="158" t="str">
        <f>IF(M90="","",M90)</f>
        <v/>
      </c>
      <c r="C85" s="151">
        <f ca="1">VLOOKUP(A85,DB_TBL_DATA_FIELDS[[FIELD_ID]:[PCT_CALC_FIELD_STATUS_CODE]],22,FALSE)</f>
        <v>-1</v>
      </c>
      <c r="D85" s="151" t="str">
        <f>IF(VLOOKUP(A85,DB_TBL_DATA_FIELDS[[FIELD_ID]:[ERROR_MESSAGE]],23,FALSE)&lt;&gt;0,VLOOKUP(A85,DB_TBL_DATA_FIELDS[[FIELD_ID]:[ERROR_MESSAGE]],23,FALSE),"")</f>
        <v/>
      </c>
      <c r="E85" s="151">
        <f>VLOOKUP(A85,DB_TBL_DATA_FIELDS[[#All],[FIELD_ID]:[RANGE_VALIDATION_MAX]],18,FALSE)</f>
        <v>0</v>
      </c>
      <c r="F85" s="151">
        <f>VLOOKUP(A85,DB_TBL_DATA_FIELDS[[#All],[FIELD_ID]:[RANGE_VALIDATION_MAX]],19,FALSE)</f>
        <v>250</v>
      </c>
      <c r="G85" s="151" t="str">
        <f t="shared" ca="1" si="8"/>
        <v/>
      </c>
      <c r="H85" s="128"/>
      <c r="I85" s="122" t="str">
        <f>"Project End Date (must be on or before the compliance period end date of "&amp;TEXT(CONFIG_COMPLIANCE_PERIOD_END_DATE,"MM/DD/YY")&amp;")"</f>
        <v>Project End Date (must be on or before the compliance period end date of 03/31/28)</v>
      </c>
      <c r="N85" s="85"/>
      <c r="S85" s="128"/>
      <c r="T85" s="85"/>
      <c r="U85" s="379"/>
      <c r="V85" s="380"/>
      <c r="W85" s="381"/>
      <c r="X85" s="96">
        <f ca="1">G82</f>
        <v>1</v>
      </c>
      <c r="Y85" s="128"/>
    </row>
    <row r="86" spans="1:25" ht="22.15" customHeight="1" x14ac:dyDescent="0.3">
      <c r="A86" s="143" t="s">
        <v>2438</v>
      </c>
      <c r="B86" s="158" t="str">
        <f>IF(U90="","",U90)</f>
        <v/>
      </c>
      <c r="C86" s="151">
        <f ca="1">VLOOKUP(A86,DB_TBL_DATA_FIELDS[[FIELD_ID]:[PCT_CALC_FIELD_STATUS_CODE]],22,FALSE)</f>
        <v>-1</v>
      </c>
      <c r="D86" s="151" t="str">
        <f>IF(VLOOKUP(A86,DB_TBL_DATA_FIELDS[[FIELD_ID]:[ERROR_MESSAGE]],23,FALSE)&lt;&gt;0,VLOOKUP(A86,DB_TBL_DATA_FIELDS[[FIELD_ID]:[ERROR_MESSAGE]],23,FALSE),"")</f>
        <v/>
      </c>
      <c r="E86" s="151">
        <f>VLOOKUP(A86,DB_TBL_DATA_FIELDS[[#All],[FIELD_ID]:[RANGE_VALIDATION_MAX]],18,FALSE)</f>
        <v>0</v>
      </c>
      <c r="F86" s="151">
        <f>VLOOKUP(A86,DB_TBL_DATA_FIELDS[[#All],[FIELD_ID]:[RANGE_VALIDATION_MAX]],19,FALSE)</f>
        <v>999999999</v>
      </c>
      <c r="G86" s="151" t="str">
        <f t="shared" ca="1" si="8"/>
        <v/>
      </c>
      <c r="H86" s="128"/>
      <c r="I86" s="122"/>
      <c r="J86" s="122"/>
      <c r="K86" s="122"/>
      <c r="L86" s="122"/>
      <c r="M86" s="122"/>
      <c r="N86" s="122"/>
      <c r="O86" s="122"/>
      <c r="P86" s="122"/>
      <c r="Q86" s="122"/>
      <c r="R86" s="122"/>
      <c r="S86" s="122"/>
      <c r="T86" s="85"/>
      <c r="U86" s="214"/>
      <c r="V86" s="109"/>
      <c r="W86" s="214"/>
      <c r="X86" s="85"/>
      <c r="Y86" s="128"/>
    </row>
    <row r="87" spans="1:25" ht="22.15" customHeight="1" x14ac:dyDescent="0.3">
      <c r="A87" s="143" t="s">
        <v>2833</v>
      </c>
      <c r="B87" s="158" t="str">
        <f>IF(I91="","",TEXT(I91,"####"))</f>
        <v/>
      </c>
      <c r="C87" s="151">
        <f ca="1">VLOOKUP(A87,DB_TBL_DATA_FIELDS[[FIELD_ID]:[PCT_CALC_FIELD_STATUS_CODE]],22,FALSE)</f>
        <v>-1</v>
      </c>
      <c r="D87" s="151" t="str">
        <f>IF(VLOOKUP(A87,DB_TBL_DATA_FIELDS[[FIELD_ID]:[ERROR_MESSAGE]],23,FALSE)&lt;&gt;0,VLOOKUP(A87,DB_TBL_DATA_FIELDS[[FIELD_ID]:[ERROR_MESSAGE]],23,FALSE),"")</f>
        <v/>
      </c>
      <c r="E87" s="151">
        <f>VLOOKUP(A87,DB_TBL_DATA_FIELDS[[#All],[FIELD_ID]:[RANGE_VALIDATION_MAX]],18,FALSE)</f>
        <v>0</v>
      </c>
      <c r="F87" s="151">
        <f>VLOOKUP(A87,DB_TBL_DATA_FIELDS[[#All],[FIELD_ID]:[RANGE_VALIDATION_MAX]],19,FALSE)</f>
        <v>7</v>
      </c>
      <c r="G87" s="151" t="str">
        <f t="shared" ca="1" si="8"/>
        <v/>
      </c>
      <c r="H87" s="128"/>
      <c r="I87" s="122" t="s">
        <v>2673</v>
      </c>
      <c r="J87" s="122"/>
      <c r="K87" s="122"/>
      <c r="L87" s="122"/>
      <c r="M87" s="122"/>
      <c r="N87" s="122"/>
      <c r="O87" s="122"/>
      <c r="P87" s="122"/>
      <c r="Q87" s="122"/>
      <c r="R87" s="122"/>
      <c r="S87" s="122"/>
      <c r="T87" s="85"/>
      <c r="U87" s="214"/>
      <c r="V87" s="109"/>
      <c r="W87" s="210"/>
      <c r="X87" s="96">
        <f ca="1">G83</f>
        <v>1</v>
      </c>
      <c r="Y87" s="128"/>
    </row>
    <row r="88" spans="1:25" ht="22.15" customHeight="1" x14ac:dyDescent="0.3">
      <c r="A88" s="143" t="s">
        <v>2440</v>
      </c>
      <c r="B88" s="158" t="str">
        <f>IF(M91="","",M91)</f>
        <v/>
      </c>
      <c r="C88" s="151">
        <f ca="1">VLOOKUP(A88,DB_TBL_DATA_FIELDS[[FIELD_ID]:[PCT_CALC_FIELD_STATUS_CODE]],22,FALSE)</f>
        <v>-1</v>
      </c>
      <c r="D88" s="151" t="str">
        <f>IF(VLOOKUP(A88,DB_TBL_DATA_FIELDS[[FIELD_ID]:[ERROR_MESSAGE]],23,FALSE)&lt;&gt;0,VLOOKUP(A88,DB_TBL_DATA_FIELDS[[FIELD_ID]:[ERROR_MESSAGE]],23,FALSE),"")</f>
        <v/>
      </c>
      <c r="E88" s="151">
        <f>VLOOKUP(A88,DB_TBL_DATA_FIELDS[[#All],[FIELD_ID]:[RANGE_VALIDATION_MAX]],18,FALSE)</f>
        <v>0</v>
      </c>
      <c r="F88" s="151">
        <f>VLOOKUP(A88,DB_TBL_DATA_FIELDS[[#All],[FIELD_ID]:[RANGE_VALIDATION_MAX]],19,FALSE)</f>
        <v>250</v>
      </c>
      <c r="G88" s="151" t="str">
        <f t="shared" ca="1" si="8"/>
        <v/>
      </c>
      <c r="H88" s="128"/>
      <c r="I88" s="135" t="s">
        <v>2825</v>
      </c>
      <c r="J88" s="122"/>
      <c r="K88" s="122"/>
      <c r="L88" s="122"/>
      <c r="M88" s="122"/>
      <c r="N88" s="122"/>
      <c r="O88" s="122"/>
      <c r="P88" s="122"/>
      <c r="Q88" s="122"/>
      <c r="R88" s="122"/>
      <c r="S88" s="122"/>
      <c r="T88" s="85"/>
      <c r="U88" s="214"/>
      <c r="V88" s="109"/>
      <c r="W88" s="214"/>
      <c r="X88" s="85"/>
      <c r="Y88" s="128"/>
    </row>
    <row r="89" spans="1:25" ht="22.15" customHeight="1" x14ac:dyDescent="0.3">
      <c r="A89" s="143" t="s">
        <v>2441</v>
      </c>
      <c r="B89" s="158" t="str">
        <f>IF(U91="","",U91)</f>
        <v/>
      </c>
      <c r="C89" s="151">
        <f ca="1">VLOOKUP(A89,DB_TBL_DATA_FIELDS[[FIELD_ID]:[PCT_CALC_FIELD_STATUS_CODE]],22,FALSE)</f>
        <v>-1</v>
      </c>
      <c r="D89" s="151" t="str">
        <f>IF(VLOOKUP(A89,DB_TBL_DATA_FIELDS[[FIELD_ID]:[ERROR_MESSAGE]],23,FALSE)&lt;&gt;0,VLOOKUP(A89,DB_TBL_DATA_FIELDS[[FIELD_ID]:[ERROR_MESSAGE]],23,FALSE),"")</f>
        <v/>
      </c>
      <c r="E89" s="151">
        <f>VLOOKUP(A89,DB_TBL_DATA_FIELDS[[#All],[FIELD_ID]:[RANGE_VALIDATION_MAX]],18,FALSE)</f>
        <v>0</v>
      </c>
      <c r="F89" s="151">
        <f>VLOOKUP(A89,DB_TBL_DATA_FIELDS[[#All],[FIELD_ID]:[RANGE_VALIDATION_MAX]],19,FALSE)</f>
        <v>999999999</v>
      </c>
      <c r="G89" s="151" t="str">
        <f t="shared" ca="1" si="8"/>
        <v/>
      </c>
      <c r="H89" s="128"/>
      <c r="I89" s="382" t="s">
        <v>2826</v>
      </c>
      <c r="J89" s="383"/>
      <c r="K89" s="383"/>
      <c r="L89" s="383"/>
      <c r="M89" s="341" t="s">
        <v>39</v>
      </c>
      <c r="N89" s="342"/>
      <c r="O89" s="342"/>
      <c r="P89" s="342"/>
      <c r="Q89" s="342"/>
      <c r="R89" s="342"/>
      <c r="S89" s="342"/>
      <c r="T89" s="343"/>
      <c r="U89" s="350" t="s">
        <v>2674</v>
      </c>
      <c r="V89" s="384"/>
      <c r="W89" s="384"/>
      <c r="X89" s="384"/>
      <c r="Y89" s="128"/>
    </row>
    <row r="90" spans="1:25" ht="22.15" customHeight="1" x14ac:dyDescent="0.3">
      <c r="A90" s="143" t="s">
        <v>2834</v>
      </c>
      <c r="B90" s="158" t="str">
        <f>IF(I92="","",TEXT(I92,"####"))</f>
        <v/>
      </c>
      <c r="C90" s="151">
        <f ca="1">VLOOKUP(A90,DB_TBL_DATA_FIELDS[[FIELD_ID]:[PCT_CALC_FIELD_STATUS_CODE]],22,FALSE)</f>
        <v>-1</v>
      </c>
      <c r="D90" s="151" t="str">
        <f>IF(VLOOKUP(A90,DB_TBL_DATA_FIELDS[[FIELD_ID]:[ERROR_MESSAGE]],23,FALSE)&lt;&gt;0,VLOOKUP(A90,DB_TBL_DATA_FIELDS[[FIELD_ID]:[ERROR_MESSAGE]],23,FALSE),"")</f>
        <v/>
      </c>
      <c r="E90" s="151">
        <f>VLOOKUP(A90,DB_TBL_DATA_FIELDS[[#All],[FIELD_ID]:[RANGE_VALIDATION_MAX]],18,FALSE)</f>
        <v>0</v>
      </c>
      <c r="F90" s="151">
        <f>VLOOKUP(A90,DB_TBL_DATA_FIELDS[[#All],[FIELD_ID]:[RANGE_VALIDATION_MAX]],19,FALSE)</f>
        <v>7</v>
      </c>
      <c r="G90" s="151" t="str">
        <f t="shared" ca="1" si="8"/>
        <v/>
      </c>
      <c r="H90" s="128"/>
      <c r="I90" s="385"/>
      <c r="J90" s="386"/>
      <c r="K90" s="386"/>
      <c r="L90" s="215" t="str">
        <f ca="1">G84</f>
        <v/>
      </c>
      <c r="M90" s="339"/>
      <c r="N90" s="340"/>
      <c r="O90" s="340"/>
      <c r="P90" s="340"/>
      <c r="Q90" s="340"/>
      <c r="R90" s="340"/>
      <c r="S90" s="340"/>
      <c r="T90" s="215" t="str">
        <f ca="1">G85</f>
        <v/>
      </c>
      <c r="U90" s="352"/>
      <c r="V90" s="353"/>
      <c r="W90" s="353"/>
      <c r="X90" s="215" t="str">
        <f ca="1">G86</f>
        <v/>
      </c>
      <c r="Y90" s="128"/>
    </row>
    <row r="91" spans="1:25" ht="22.15" customHeight="1" x14ac:dyDescent="0.3">
      <c r="A91" s="143" t="s">
        <v>2442</v>
      </c>
      <c r="B91" s="158" t="str">
        <f>IF(M92="","",M92)</f>
        <v/>
      </c>
      <c r="C91" s="151">
        <f ca="1">VLOOKUP(A91,DB_TBL_DATA_FIELDS[[FIELD_ID]:[PCT_CALC_FIELD_STATUS_CODE]],22,FALSE)</f>
        <v>-1</v>
      </c>
      <c r="D91" s="151" t="str">
        <f>IF(VLOOKUP(A91,DB_TBL_DATA_FIELDS[[FIELD_ID]:[ERROR_MESSAGE]],23,FALSE)&lt;&gt;0,VLOOKUP(A91,DB_TBL_DATA_FIELDS[[FIELD_ID]:[ERROR_MESSAGE]],23,FALSE),"")</f>
        <v/>
      </c>
      <c r="E91" s="151">
        <f>VLOOKUP(A91,DB_TBL_DATA_FIELDS[[#All],[FIELD_ID]:[RANGE_VALIDATION_MAX]],18,FALSE)</f>
        <v>0</v>
      </c>
      <c r="F91" s="151">
        <f>VLOOKUP(A91,DB_TBL_DATA_FIELDS[[#All],[FIELD_ID]:[RANGE_VALIDATION_MAX]],19,FALSE)</f>
        <v>250</v>
      </c>
      <c r="G91" s="151" t="str">
        <f t="shared" ca="1" si="8"/>
        <v/>
      </c>
      <c r="H91" s="128"/>
      <c r="I91" s="385"/>
      <c r="J91" s="386"/>
      <c r="K91" s="386"/>
      <c r="L91" s="215" t="str">
        <f ca="1">G87</f>
        <v/>
      </c>
      <c r="M91" s="339"/>
      <c r="N91" s="340"/>
      <c r="O91" s="340"/>
      <c r="P91" s="340"/>
      <c r="Q91" s="340"/>
      <c r="R91" s="340"/>
      <c r="S91" s="340"/>
      <c r="T91" s="215" t="str">
        <f ca="1">G88</f>
        <v/>
      </c>
      <c r="U91" s="352"/>
      <c r="V91" s="353"/>
      <c r="W91" s="353"/>
      <c r="X91" s="215" t="str">
        <f ca="1">G89</f>
        <v/>
      </c>
      <c r="Y91" s="128"/>
    </row>
    <row r="92" spans="1:25" ht="22.15" customHeight="1" x14ac:dyDescent="0.3">
      <c r="A92" s="143" t="s">
        <v>2443</v>
      </c>
      <c r="B92" s="158" t="str">
        <f>IF(U92="","",U92)</f>
        <v/>
      </c>
      <c r="C92" s="151">
        <f ca="1">VLOOKUP(A92,DB_TBL_DATA_FIELDS[[FIELD_ID]:[PCT_CALC_FIELD_STATUS_CODE]],22,FALSE)</f>
        <v>-1</v>
      </c>
      <c r="D92" s="151" t="str">
        <f>IF(VLOOKUP(A92,DB_TBL_DATA_FIELDS[[FIELD_ID]:[ERROR_MESSAGE]],23,FALSE)&lt;&gt;0,VLOOKUP(A92,DB_TBL_DATA_FIELDS[[FIELD_ID]:[ERROR_MESSAGE]],23,FALSE),"")</f>
        <v/>
      </c>
      <c r="E92" s="151">
        <f>VLOOKUP(A92,DB_TBL_DATA_FIELDS[[#All],[FIELD_ID]:[RANGE_VALIDATION_MAX]],18,FALSE)</f>
        <v>0</v>
      </c>
      <c r="F92" s="151">
        <f>VLOOKUP(A92,DB_TBL_DATA_FIELDS[[#All],[FIELD_ID]:[RANGE_VALIDATION_MAX]],19,FALSE)</f>
        <v>999999999</v>
      </c>
      <c r="G92" s="151" t="str">
        <f t="shared" ca="1" si="8"/>
        <v/>
      </c>
      <c r="H92" s="128"/>
      <c r="I92" s="385"/>
      <c r="J92" s="386"/>
      <c r="K92" s="386"/>
      <c r="L92" s="215" t="str">
        <f ca="1">G90</f>
        <v/>
      </c>
      <c r="M92" s="339"/>
      <c r="N92" s="340"/>
      <c r="O92" s="340"/>
      <c r="P92" s="340"/>
      <c r="Q92" s="340"/>
      <c r="R92" s="340"/>
      <c r="S92" s="340"/>
      <c r="T92" s="215" t="str">
        <f ca="1">G91</f>
        <v/>
      </c>
      <c r="U92" s="352"/>
      <c r="V92" s="353"/>
      <c r="W92" s="353"/>
      <c r="X92" s="215" t="str">
        <f ca="1">G92</f>
        <v/>
      </c>
      <c r="Y92" s="128"/>
    </row>
    <row r="93" spans="1:25" ht="22.15" customHeight="1" x14ac:dyDescent="0.3">
      <c r="A93" s="143" t="s">
        <v>2835</v>
      </c>
      <c r="B93" s="158" t="str">
        <f>IF(I93="","",TEXT(I93,"####"))</f>
        <v/>
      </c>
      <c r="C93" s="151">
        <f ca="1">VLOOKUP(A93,DB_TBL_DATA_FIELDS[[FIELD_ID]:[PCT_CALC_FIELD_STATUS_CODE]],22,FALSE)</f>
        <v>-1</v>
      </c>
      <c r="D93" s="151" t="str">
        <f>IF(VLOOKUP(A93,DB_TBL_DATA_FIELDS[[FIELD_ID]:[ERROR_MESSAGE]],23,FALSE)&lt;&gt;0,VLOOKUP(A93,DB_TBL_DATA_FIELDS[[FIELD_ID]:[ERROR_MESSAGE]],23,FALSE),"")</f>
        <v/>
      </c>
      <c r="E93" s="151">
        <f>VLOOKUP(A93,DB_TBL_DATA_FIELDS[[#All],[FIELD_ID]:[RANGE_VALIDATION_MAX]],18,FALSE)</f>
        <v>0</v>
      </c>
      <c r="F93" s="151">
        <f>VLOOKUP(A93,DB_TBL_DATA_FIELDS[[#All],[FIELD_ID]:[RANGE_VALIDATION_MAX]],19,FALSE)</f>
        <v>7</v>
      </c>
      <c r="G93" s="151" t="str">
        <f t="shared" ca="1" si="8"/>
        <v/>
      </c>
      <c r="H93" s="128"/>
      <c r="I93" s="385"/>
      <c r="J93" s="386"/>
      <c r="K93" s="386"/>
      <c r="L93" s="215" t="str">
        <f ca="1">G93</f>
        <v/>
      </c>
      <c r="M93" s="339"/>
      <c r="N93" s="340"/>
      <c r="O93" s="340"/>
      <c r="P93" s="340"/>
      <c r="Q93" s="340"/>
      <c r="R93" s="340"/>
      <c r="S93" s="340"/>
      <c r="T93" s="215" t="str">
        <f ca="1">G94</f>
        <v/>
      </c>
      <c r="U93" s="352"/>
      <c r="V93" s="353"/>
      <c r="W93" s="353"/>
      <c r="X93" s="215" t="str">
        <f ca="1">G95</f>
        <v/>
      </c>
      <c r="Y93" s="128"/>
    </row>
    <row r="94" spans="1:25" ht="22.15" customHeight="1" x14ac:dyDescent="0.3">
      <c r="A94" s="143" t="s">
        <v>2444</v>
      </c>
      <c r="B94" s="158" t="str">
        <f>IF(M93="","",M93)</f>
        <v/>
      </c>
      <c r="C94" s="151">
        <f ca="1">VLOOKUP(A94,DB_TBL_DATA_FIELDS[[FIELD_ID]:[PCT_CALC_FIELD_STATUS_CODE]],22,FALSE)</f>
        <v>-1</v>
      </c>
      <c r="D94" s="151" t="str">
        <f>IF(VLOOKUP(A94,DB_TBL_DATA_FIELDS[[FIELD_ID]:[ERROR_MESSAGE]],23,FALSE)&lt;&gt;0,VLOOKUP(A94,DB_TBL_DATA_FIELDS[[FIELD_ID]:[ERROR_MESSAGE]],23,FALSE),"")</f>
        <v/>
      </c>
      <c r="E94" s="151">
        <f>VLOOKUP(A94,DB_TBL_DATA_FIELDS[[#All],[FIELD_ID]:[RANGE_VALIDATION_MAX]],18,FALSE)</f>
        <v>0</v>
      </c>
      <c r="F94" s="151">
        <f>VLOOKUP(A94,DB_TBL_DATA_FIELDS[[#All],[FIELD_ID]:[RANGE_VALIDATION_MAX]],19,FALSE)</f>
        <v>250</v>
      </c>
      <c r="G94" s="151" t="str">
        <f t="shared" ca="1" si="8"/>
        <v/>
      </c>
      <c r="H94" s="128"/>
      <c r="I94" s="385"/>
      <c r="J94" s="386"/>
      <c r="K94" s="386"/>
      <c r="L94" s="215" t="str">
        <f ca="1">G96</f>
        <v/>
      </c>
      <c r="M94" s="339"/>
      <c r="N94" s="340"/>
      <c r="O94" s="340"/>
      <c r="P94" s="340"/>
      <c r="Q94" s="340"/>
      <c r="R94" s="340"/>
      <c r="S94" s="340"/>
      <c r="T94" s="215" t="str">
        <f ca="1">G97</f>
        <v/>
      </c>
      <c r="U94" s="352"/>
      <c r="V94" s="353"/>
      <c r="W94" s="353"/>
      <c r="X94" s="215" t="str">
        <f ca="1">G98</f>
        <v/>
      </c>
      <c r="Y94" s="128"/>
    </row>
    <row r="95" spans="1:25" ht="22.15" customHeight="1" x14ac:dyDescent="0.3">
      <c r="A95" s="143" t="s">
        <v>2445</v>
      </c>
      <c r="B95" s="158" t="str">
        <f>IF(U93="","",U93)</f>
        <v/>
      </c>
      <c r="C95" s="151">
        <f ca="1">VLOOKUP(A95,DB_TBL_DATA_FIELDS[[FIELD_ID]:[PCT_CALC_FIELD_STATUS_CODE]],22,FALSE)</f>
        <v>-1</v>
      </c>
      <c r="D95" s="151" t="str">
        <f>IF(VLOOKUP(A95,DB_TBL_DATA_FIELDS[[FIELD_ID]:[ERROR_MESSAGE]],23,FALSE)&lt;&gt;0,VLOOKUP(A95,DB_TBL_DATA_FIELDS[[FIELD_ID]:[ERROR_MESSAGE]],23,FALSE),"")</f>
        <v/>
      </c>
      <c r="E95" s="151">
        <f>VLOOKUP(A95,DB_TBL_DATA_FIELDS[[#All],[FIELD_ID]:[RANGE_VALIDATION_MAX]],18,FALSE)</f>
        <v>0</v>
      </c>
      <c r="F95" s="151">
        <f>VLOOKUP(A95,DB_TBL_DATA_FIELDS[[#All],[FIELD_ID]:[RANGE_VALIDATION_MAX]],19,FALSE)</f>
        <v>999999999</v>
      </c>
      <c r="G95" s="151" t="str">
        <f t="shared" ca="1" si="8"/>
        <v/>
      </c>
      <c r="H95" s="128"/>
      <c r="N95" s="85"/>
      <c r="S95" s="128"/>
      <c r="T95" s="85"/>
      <c r="U95" s="214"/>
      <c r="V95" s="109"/>
      <c r="W95" s="214"/>
      <c r="X95" s="85"/>
      <c r="Y95" s="111"/>
    </row>
    <row r="96" spans="1:25" ht="22.15" customHeight="1" thickBot="1" x14ac:dyDescent="0.35">
      <c r="A96" s="143" t="s">
        <v>2836</v>
      </c>
      <c r="B96" s="158" t="str">
        <f>IF(I94="","",TEXT(I94,"####"))</f>
        <v/>
      </c>
      <c r="C96" s="151">
        <f ca="1">VLOOKUP(A96,DB_TBL_DATA_FIELDS[[FIELD_ID]:[PCT_CALC_FIELD_STATUS_CODE]],22,FALSE)</f>
        <v>-1</v>
      </c>
      <c r="D96" s="151" t="str">
        <f>IF(VLOOKUP(A96,DB_TBL_DATA_FIELDS[[FIELD_ID]:[ERROR_MESSAGE]],23,FALSE)&lt;&gt;0,VLOOKUP(A96,DB_TBL_DATA_FIELDS[[FIELD_ID]:[ERROR_MESSAGE]],23,FALSE),"")</f>
        <v/>
      </c>
      <c r="E96" s="151">
        <f>VLOOKUP(A96,DB_TBL_DATA_FIELDS[[#All],[FIELD_ID]:[RANGE_VALIDATION_MAX]],18,FALSE)</f>
        <v>0</v>
      </c>
      <c r="F96" s="151">
        <f>VLOOKUP(A96,DB_TBL_DATA_FIELDS[[#All],[FIELD_ID]:[RANGE_VALIDATION_MAX]],19,FALSE)</f>
        <v>7</v>
      </c>
      <c r="G96" s="151" t="str">
        <f t="shared" ca="1" si="8"/>
        <v/>
      </c>
      <c r="H96" s="128"/>
      <c r="I96" s="81" t="str">
        <f>B109</f>
        <v>Project Summary</v>
      </c>
      <c r="J96" s="140"/>
      <c r="K96" s="140"/>
      <c r="L96" s="140"/>
      <c r="M96" s="140"/>
      <c r="N96" s="140"/>
      <c r="O96" s="140"/>
      <c r="P96" s="140"/>
      <c r="Q96" s="140"/>
      <c r="R96" s="140"/>
      <c r="S96" s="140"/>
      <c r="T96" s="140"/>
      <c r="U96" s="140"/>
      <c r="V96" s="140"/>
      <c r="W96" s="140"/>
      <c r="X96" s="98" t="str">
        <f ca="1">"Status: "&amp;$B$159</f>
        <v>Status: Not Started</v>
      </c>
      <c r="Y96" s="111"/>
    </row>
    <row r="97" spans="1:25" ht="22.15" customHeight="1" x14ac:dyDescent="0.3">
      <c r="A97" s="143" t="s">
        <v>2446</v>
      </c>
      <c r="B97" s="158" t="str">
        <f>IF(M94="","",M94)</f>
        <v/>
      </c>
      <c r="C97" s="151">
        <f ca="1">VLOOKUP(A97,DB_TBL_DATA_FIELDS[[FIELD_ID]:[PCT_CALC_FIELD_STATUS_CODE]],22,FALSE)</f>
        <v>-1</v>
      </c>
      <c r="D97" s="151" t="str">
        <f>IF(VLOOKUP(A97,DB_TBL_DATA_FIELDS[[FIELD_ID]:[ERROR_MESSAGE]],23,FALSE)&lt;&gt;0,VLOOKUP(A97,DB_TBL_DATA_FIELDS[[FIELD_ID]:[ERROR_MESSAGE]],23,FALSE),"")</f>
        <v/>
      </c>
      <c r="E97" s="151">
        <f>VLOOKUP(A97,DB_TBL_DATA_FIELDS[[#All],[FIELD_ID]:[RANGE_VALIDATION_MAX]],18,FALSE)</f>
        <v>0</v>
      </c>
      <c r="F97" s="151">
        <f>VLOOKUP(A97,DB_TBL_DATA_FIELDS[[#All],[FIELD_ID]:[RANGE_VALIDATION_MAX]],19,FALSE)</f>
        <v>250</v>
      </c>
      <c r="G97" s="151" t="str">
        <f t="shared" ca="1" si="8"/>
        <v/>
      </c>
      <c r="H97" s="128"/>
      <c r="I97" s="110"/>
      <c r="J97" s="110"/>
      <c r="K97" s="110"/>
      <c r="L97" s="110"/>
      <c r="M97" s="110"/>
      <c r="N97" s="110"/>
      <c r="O97" s="110"/>
      <c r="P97" s="85"/>
      <c r="Q97" s="111"/>
      <c r="R97" s="85"/>
      <c r="S97" s="111"/>
      <c r="T97" s="85"/>
      <c r="U97" s="111"/>
      <c r="V97" s="85"/>
      <c r="W97" s="111"/>
      <c r="X97" s="85"/>
      <c r="Y97" s="111"/>
    </row>
    <row r="98" spans="1:25" ht="22.15" customHeight="1" x14ac:dyDescent="0.3">
      <c r="A98" s="143" t="s">
        <v>2447</v>
      </c>
      <c r="B98" s="158" t="str">
        <f>IF(U94="","",U94)</f>
        <v/>
      </c>
      <c r="C98" s="151">
        <f ca="1">VLOOKUP(A98,DB_TBL_DATA_FIELDS[[FIELD_ID]:[PCT_CALC_FIELD_STATUS_CODE]],22,FALSE)</f>
        <v>-1</v>
      </c>
      <c r="D98" s="151" t="str">
        <f>IF(VLOOKUP(A98,DB_TBL_DATA_FIELDS[[FIELD_ID]:[ERROR_MESSAGE]],23,FALSE)&lt;&gt;0,VLOOKUP(A98,DB_TBL_DATA_FIELDS[[FIELD_ID]:[ERROR_MESSAGE]],23,FALSE),"")</f>
        <v/>
      </c>
      <c r="E98" s="151">
        <f>VLOOKUP(A98,DB_TBL_DATA_FIELDS[[#All],[FIELD_ID]:[RANGE_VALIDATION_MAX]],18,FALSE)</f>
        <v>0</v>
      </c>
      <c r="F98" s="151">
        <f>VLOOKUP(A98,DB_TBL_DATA_FIELDS[[#All],[FIELD_ID]:[RANGE_VALIDATION_MAX]],19,FALSE)</f>
        <v>999999999</v>
      </c>
      <c r="G98" s="151" t="str">
        <f t="shared" ca="1" si="8"/>
        <v/>
      </c>
      <c r="H98" s="128"/>
      <c r="I98" s="110"/>
      <c r="J98" s="110"/>
      <c r="K98" s="110"/>
      <c r="L98" s="110"/>
      <c r="M98" s="110"/>
      <c r="N98" s="110"/>
      <c r="O98" s="110"/>
      <c r="P98" s="301"/>
      <c r="Q98" s="111"/>
      <c r="R98" s="301"/>
      <c r="S98" s="111"/>
      <c r="T98" s="301"/>
      <c r="U98" s="111"/>
      <c r="V98" s="301"/>
      <c r="W98" s="111"/>
      <c r="X98" s="301"/>
      <c r="Y98" s="111"/>
    </row>
    <row r="99" spans="1:25" ht="22.15" customHeight="1" thickBot="1" x14ac:dyDescent="0.35">
      <c r="A99" s="160" t="s">
        <v>188</v>
      </c>
      <c r="B99" s="152" t="str">
        <f>"C"&amp;MATCH(LEFT(A99,LEN(A99)-LEN("_RANGE")),A:A,0)+1&amp;":C"&amp;(ROW()-1)</f>
        <v>C80:C98</v>
      </c>
      <c r="C99" s="151"/>
      <c r="D99" s="151"/>
      <c r="E99" s="151"/>
      <c r="F99" s="151"/>
      <c r="G99" s="151"/>
      <c r="H99" s="128"/>
      <c r="I99" s="226" t="s">
        <v>2665</v>
      </c>
      <c r="J99" s="229"/>
      <c r="K99" s="229"/>
      <c r="L99" s="229"/>
      <c r="M99" s="229"/>
      <c r="N99" s="229"/>
      <c r="O99" s="229"/>
      <c r="P99" s="230"/>
      <c r="Q99" s="231"/>
      <c r="R99" s="230"/>
      <c r="S99" s="231"/>
      <c r="T99" s="230"/>
      <c r="U99" s="231"/>
      <c r="V99" s="230"/>
      <c r="W99" s="231"/>
      <c r="X99" s="110"/>
      <c r="Y99" s="111"/>
    </row>
    <row r="100" spans="1:25" ht="22.15" customHeight="1" x14ac:dyDescent="0.3">
      <c r="A100" s="160" t="s">
        <v>189</v>
      </c>
      <c r="B100" s="152">
        <f ca="1">COUNTIF(INDIRECT($B99),2)</f>
        <v>0</v>
      </c>
      <c r="C100" s="151"/>
      <c r="D100" s="151"/>
      <c r="E100" s="151"/>
      <c r="F100" s="151"/>
      <c r="G100" s="151"/>
      <c r="H100" s="128"/>
      <c r="I100" s="317"/>
      <c r="J100" s="316"/>
      <c r="K100" s="316"/>
      <c r="L100" s="316"/>
      <c r="M100" s="316"/>
      <c r="N100" s="316"/>
      <c r="O100" s="316"/>
      <c r="P100" s="316"/>
      <c r="Q100" s="316"/>
      <c r="R100" s="316"/>
      <c r="S100" s="316"/>
      <c r="T100" s="79"/>
      <c r="U100" s="120"/>
      <c r="V100" s="79"/>
      <c r="W100" s="120"/>
      <c r="X100" s="110"/>
      <c r="Y100" s="111"/>
    </row>
    <row r="101" spans="1:25" ht="22.15" customHeight="1" x14ac:dyDescent="0.3">
      <c r="A101" s="160" t="s">
        <v>190</v>
      </c>
      <c r="B101" s="152">
        <f ca="1">COUNTIF(INDIRECT($B99),0)+COUNTIF(INDIRECT($B99),1)+COUNTIF(INDIRECT($B99),2)</f>
        <v>4</v>
      </c>
      <c r="C101" s="151"/>
      <c r="D101" s="151"/>
      <c r="E101" s="151"/>
      <c r="F101" s="151"/>
      <c r="G101" s="151"/>
      <c r="H101" s="128"/>
      <c r="I101" s="318" t="s">
        <v>2746</v>
      </c>
      <c r="J101" s="315"/>
      <c r="K101" s="315"/>
      <c r="L101" s="315"/>
      <c r="M101" s="315"/>
      <c r="N101" s="315"/>
      <c r="O101" s="315"/>
      <c r="P101" s="315"/>
      <c r="Q101" s="315"/>
      <c r="R101" s="315"/>
      <c r="S101" s="315"/>
      <c r="T101" s="85"/>
      <c r="U101" s="111"/>
      <c r="V101" s="85"/>
      <c r="W101" s="211" t="str">
        <f>SUBSTITUTE(SUBSTITUTE(SUBSTITUTE(IF(LEN(B110)&gt;F110,CONFIG_CHAR_LIMIT_TEMPLATE_ERR,CONFIG_CHAR_LIMIT_TEMPLATE),"[diff]",ABS(LEN(B110)-F110)),"[limit]",F110),"[used]",LEN(B110))</f>
        <v>3000 character(s) remaining</v>
      </c>
      <c r="X101" s="85"/>
      <c r="Y101" s="111"/>
    </row>
    <row r="102" spans="1:25" ht="22.15" customHeight="1" x14ac:dyDescent="0.3">
      <c r="A102" s="160" t="s">
        <v>191</v>
      </c>
      <c r="B102" s="152">
        <f ca="1">COUNTIF(INDIRECT($B99),0)</f>
        <v>0</v>
      </c>
      <c r="C102" s="151" t="s">
        <v>2300</v>
      </c>
      <c r="D102" s="151"/>
      <c r="E102" s="151"/>
      <c r="F102" s="151"/>
      <c r="G102" s="151"/>
      <c r="H102" s="128"/>
      <c r="I102" s="344"/>
      <c r="J102" s="345"/>
      <c r="K102" s="345"/>
      <c r="L102" s="345"/>
      <c r="M102" s="345"/>
      <c r="N102" s="345"/>
      <c r="O102" s="345"/>
      <c r="P102" s="345"/>
      <c r="Q102" s="345"/>
      <c r="R102" s="345"/>
      <c r="S102" s="345"/>
      <c r="T102" s="345"/>
      <c r="U102" s="345"/>
      <c r="V102" s="345"/>
      <c r="W102" s="346"/>
      <c r="X102" s="96">
        <f ca="1">G110</f>
        <v>1</v>
      </c>
      <c r="Y102" s="111"/>
    </row>
    <row r="103" spans="1:25" ht="22.15" customHeight="1" x14ac:dyDescent="0.3">
      <c r="A103" s="160" t="s">
        <v>192</v>
      </c>
      <c r="B103" s="161">
        <f ca="1">IFERROR(B100/B101,1.01)</f>
        <v>0</v>
      </c>
      <c r="C103" s="151"/>
      <c r="D103" s="151"/>
      <c r="E103" s="151"/>
      <c r="F103" s="151"/>
      <c r="G103" s="151"/>
      <c r="H103" s="128"/>
      <c r="I103" s="360"/>
      <c r="J103" s="361"/>
      <c r="K103" s="361"/>
      <c r="L103" s="361"/>
      <c r="M103" s="361"/>
      <c r="N103" s="361"/>
      <c r="O103" s="361"/>
      <c r="P103" s="361"/>
      <c r="Q103" s="361"/>
      <c r="R103" s="361"/>
      <c r="S103" s="361"/>
      <c r="T103" s="361"/>
      <c r="U103" s="361"/>
      <c r="V103" s="361"/>
      <c r="W103" s="362"/>
      <c r="X103" s="85"/>
      <c r="Y103" s="111"/>
    </row>
    <row r="104" spans="1:25" ht="22.15" customHeight="1" x14ac:dyDescent="0.3">
      <c r="A104" s="160" t="s">
        <v>193</v>
      </c>
      <c r="B104" s="162" t="str">
        <f ca="1">IF(B102&gt;0,"Data Error(s)",IF(B103=0,"Not Started",IF(B103&lt;1,ROUNDUP(B103*100,0)&amp;"% Done",IF(B103&gt;1,"Optional","Complete"))))</f>
        <v>Not Started</v>
      </c>
      <c r="C104" s="151"/>
      <c r="D104" s="151"/>
      <c r="E104" s="151"/>
      <c r="F104" s="151"/>
      <c r="G104" s="151"/>
      <c r="H104" s="128"/>
      <c r="I104" s="360"/>
      <c r="J104" s="361"/>
      <c r="K104" s="361"/>
      <c r="L104" s="361"/>
      <c r="M104" s="361"/>
      <c r="N104" s="361"/>
      <c r="O104" s="361"/>
      <c r="P104" s="361"/>
      <c r="Q104" s="361"/>
      <c r="R104" s="361"/>
      <c r="S104" s="361"/>
      <c r="T104" s="361"/>
      <c r="U104" s="361"/>
      <c r="V104" s="361"/>
      <c r="W104" s="362"/>
      <c r="X104" s="85"/>
      <c r="Y104" s="111"/>
    </row>
    <row r="105" spans="1:25" ht="22.15" customHeight="1" x14ac:dyDescent="0.3">
      <c r="A105" s="160" t="s">
        <v>194</v>
      </c>
      <c r="B105" s="152" t="str">
        <f ca="1">IF(B102&gt;0,0,IF(B103&lt;1,"",2))</f>
        <v/>
      </c>
      <c r="C105" s="151"/>
      <c r="D105" s="151"/>
      <c r="E105" s="151"/>
      <c r="F105" s="151"/>
      <c r="G105" s="151"/>
      <c r="H105" s="128"/>
      <c r="I105" s="360"/>
      <c r="J105" s="361"/>
      <c r="K105" s="361"/>
      <c r="L105" s="361"/>
      <c r="M105" s="361"/>
      <c r="N105" s="361"/>
      <c r="O105" s="361"/>
      <c r="P105" s="361"/>
      <c r="Q105" s="361"/>
      <c r="R105" s="361"/>
      <c r="S105" s="361"/>
      <c r="T105" s="361"/>
      <c r="U105" s="361"/>
      <c r="V105" s="361"/>
      <c r="W105" s="362"/>
      <c r="X105" s="85"/>
      <c r="Y105" s="111"/>
    </row>
    <row r="106" spans="1:25" ht="22.15" customHeight="1" x14ac:dyDescent="0.3">
      <c r="A106" s="160" t="s">
        <v>195</v>
      </c>
      <c r="B106" s="163" t="s">
        <v>2376</v>
      </c>
      <c r="C106" s="151"/>
      <c r="D106" s="151"/>
      <c r="E106" s="151"/>
      <c r="F106" s="151"/>
      <c r="G106" s="151"/>
      <c r="H106" s="128"/>
      <c r="I106" s="360"/>
      <c r="J106" s="361"/>
      <c r="K106" s="361"/>
      <c r="L106" s="361"/>
      <c r="M106" s="361"/>
      <c r="N106" s="361"/>
      <c r="O106" s="361"/>
      <c r="P106" s="361"/>
      <c r="Q106" s="361"/>
      <c r="R106" s="361"/>
      <c r="S106" s="361"/>
      <c r="T106" s="361"/>
      <c r="U106" s="361"/>
      <c r="V106" s="361"/>
      <c r="W106" s="362"/>
      <c r="X106" s="85"/>
      <c r="Y106" s="111"/>
    </row>
    <row r="107" spans="1:25" ht="22.15" customHeight="1" x14ac:dyDescent="0.3">
      <c r="A107" s="164" t="s">
        <v>2217</v>
      </c>
      <c r="B107" s="152">
        <v>0</v>
      </c>
      <c r="C107" s="151" t="s">
        <v>2284</v>
      </c>
      <c r="D107" s="151"/>
      <c r="E107" s="151"/>
      <c r="F107" s="151"/>
      <c r="G107" s="151"/>
      <c r="H107" s="128"/>
      <c r="I107" s="360"/>
      <c r="J107" s="361"/>
      <c r="K107" s="361"/>
      <c r="L107" s="361"/>
      <c r="M107" s="361"/>
      <c r="N107" s="361"/>
      <c r="O107" s="361"/>
      <c r="P107" s="361"/>
      <c r="Q107" s="361"/>
      <c r="R107" s="361"/>
      <c r="S107" s="361"/>
      <c r="T107" s="361"/>
      <c r="U107" s="361"/>
      <c r="V107" s="361"/>
      <c r="W107" s="362"/>
      <c r="X107" s="85"/>
      <c r="Y107" s="111"/>
    </row>
    <row r="108" spans="1:25" ht="22.15" customHeight="1" x14ac:dyDescent="0.3">
      <c r="A108" s="164" t="s">
        <v>2218</v>
      </c>
      <c r="B108" s="152" t="b">
        <f>(B107&gt;0)</f>
        <v>0</v>
      </c>
      <c r="C108" s="151"/>
      <c r="D108" s="151"/>
      <c r="E108" s="151"/>
      <c r="F108" s="151"/>
      <c r="G108" s="151"/>
      <c r="H108" s="128"/>
      <c r="I108" s="360"/>
      <c r="J108" s="361"/>
      <c r="K108" s="361"/>
      <c r="L108" s="361"/>
      <c r="M108" s="361"/>
      <c r="N108" s="361"/>
      <c r="O108" s="361"/>
      <c r="P108" s="361"/>
      <c r="Q108" s="361"/>
      <c r="R108" s="361"/>
      <c r="S108" s="361"/>
      <c r="T108" s="361"/>
      <c r="U108" s="361"/>
      <c r="V108" s="361"/>
      <c r="W108" s="362"/>
      <c r="X108" s="85"/>
      <c r="Y108" s="111"/>
    </row>
    <row r="109" spans="1:25" ht="22.15" customHeight="1" x14ac:dyDescent="0.3">
      <c r="A109" s="155" t="s">
        <v>199</v>
      </c>
      <c r="B109" s="170" t="s">
        <v>2665</v>
      </c>
      <c r="C109" s="157"/>
      <c r="D109" s="157"/>
      <c r="E109" s="157"/>
      <c r="F109" s="157"/>
      <c r="G109" s="104" t="s">
        <v>2665</v>
      </c>
      <c r="H109" s="128"/>
      <c r="I109" s="360"/>
      <c r="J109" s="361"/>
      <c r="K109" s="361"/>
      <c r="L109" s="361"/>
      <c r="M109" s="361"/>
      <c r="N109" s="361"/>
      <c r="O109" s="361"/>
      <c r="P109" s="361"/>
      <c r="Q109" s="361"/>
      <c r="R109" s="361"/>
      <c r="S109" s="361"/>
      <c r="T109" s="361"/>
      <c r="U109" s="361"/>
      <c r="V109" s="361"/>
      <c r="W109" s="362"/>
      <c r="X109" s="85"/>
      <c r="Y109" s="111"/>
    </row>
    <row r="110" spans="1:25" ht="22.15" customHeight="1" x14ac:dyDescent="0.3">
      <c r="A110" s="143" t="s">
        <v>2461</v>
      </c>
      <c r="B110" s="158" t="str">
        <f>IF(I102="","",I102)</f>
        <v/>
      </c>
      <c r="C110" s="151">
        <f ca="1">VLOOKUP(A110,DB_TBL_DATA_FIELDS[[FIELD_ID]:[PCT_CALC_FIELD_STATUS_CODE]],22,FALSE)</f>
        <v>1</v>
      </c>
      <c r="D110" s="151" t="str">
        <f>IF(VLOOKUP(A110,DB_TBL_DATA_FIELDS[[FIELD_ID]:[ERROR_MESSAGE]],23,FALSE)&lt;&gt;0,VLOOKUP(A110,DB_TBL_DATA_FIELDS[[FIELD_ID]:[ERROR_MESSAGE]],23,FALSE),"")</f>
        <v/>
      </c>
      <c r="E110" s="151">
        <f>VLOOKUP(A110,DB_TBL_DATA_FIELDS[[#All],[FIELD_ID]:[RANGE_VALIDATION_MAX]],18,FALSE)</f>
        <v>0</v>
      </c>
      <c r="F110" s="151">
        <f>VLOOKUP(A110,DB_TBL_DATA_FIELDS[[#All],[FIELD_ID]:[RANGE_VALIDATION_MAX]],19,FALSE)</f>
        <v>3000</v>
      </c>
      <c r="G110" s="151">
        <f t="shared" ref="G110" ca="1" si="9">IF(C110&lt;0,"",C110)</f>
        <v>1</v>
      </c>
      <c r="H110" s="128"/>
      <c r="I110" s="360"/>
      <c r="J110" s="361"/>
      <c r="K110" s="361"/>
      <c r="L110" s="361"/>
      <c r="M110" s="361"/>
      <c r="N110" s="361"/>
      <c r="O110" s="361"/>
      <c r="P110" s="361"/>
      <c r="Q110" s="361"/>
      <c r="R110" s="361"/>
      <c r="S110" s="361"/>
      <c r="T110" s="361"/>
      <c r="U110" s="361"/>
      <c r="V110" s="361"/>
      <c r="W110" s="362"/>
      <c r="X110" s="85"/>
      <c r="Y110" s="111"/>
    </row>
    <row r="111" spans="1:25" ht="22.15" customHeight="1" x14ac:dyDescent="0.3">
      <c r="A111" s="143" t="s">
        <v>2462</v>
      </c>
      <c r="B111" s="158" t="str">
        <f>IF(S120="","",S120)</f>
        <v/>
      </c>
      <c r="C111" s="151">
        <f ca="1">VLOOKUP(A111,DB_TBL_DATA_FIELDS[[FIELD_ID]:[PCT_CALC_FIELD_STATUS_CODE]],22,FALSE)</f>
        <v>1</v>
      </c>
      <c r="D111" s="151" t="str">
        <f>IF(VLOOKUP(A111,DB_TBL_DATA_FIELDS[[FIELD_ID]:[ERROR_MESSAGE]],23,FALSE)&lt;&gt;0,VLOOKUP(A111,DB_TBL_DATA_FIELDS[[FIELD_ID]:[ERROR_MESSAGE]],23,FALSE),"")</f>
        <v/>
      </c>
      <c r="E111" s="151">
        <f>VLOOKUP(A111,DB_TBL_DATA_FIELDS[[#All],[FIELD_ID]:[RANGE_VALIDATION_MAX]],18,FALSE)</f>
        <v>0</v>
      </c>
      <c r="F111" s="151">
        <f>VLOOKUP(A111,DB_TBL_DATA_FIELDS[[#All],[FIELD_ID]:[RANGE_VALIDATION_MAX]],19,FALSE)</f>
        <v>50</v>
      </c>
      <c r="G111" s="151">
        <f t="shared" ref="G111:G148" ca="1" si="10">IF(C111&lt;0,"",C111)</f>
        <v>1</v>
      </c>
      <c r="H111" s="128"/>
      <c r="I111" s="360"/>
      <c r="J111" s="361"/>
      <c r="K111" s="361"/>
      <c r="L111" s="361"/>
      <c r="M111" s="361"/>
      <c r="N111" s="361"/>
      <c r="O111" s="361"/>
      <c r="P111" s="361"/>
      <c r="Q111" s="361"/>
      <c r="R111" s="361"/>
      <c r="S111" s="361"/>
      <c r="T111" s="361"/>
      <c r="U111" s="361"/>
      <c r="V111" s="361"/>
      <c r="W111" s="362"/>
      <c r="X111" s="85"/>
      <c r="Y111" s="111"/>
    </row>
    <row r="112" spans="1:25" ht="22.15" customHeight="1" x14ac:dyDescent="0.3">
      <c r="A112" s="143" t="s">
        <v>2465</v>
      </c>
      <c r="B112" s="158" t="str">
        <f>IF(I122="","",I122)</f>
        <v/>
      </c>
      <c r="C112" s="151">
        <f ca="1">VLOOKUP(A112,DB_TBL_DATA_FIELDS[[FIELD_ID]:[PCT_CALC_FIELD_STATUS_CODE]],22,FALSE)</f>
        <v>-1</v>
      </c>
      <c r="D112" s="151" t="str">
        <f>IF(VLOOKUP(A112,DB_TBL_DATA_FIELDS[[FIELD_ID]:[ERROR_MESSAGE]],23,FALSE)&lt;&gt;0,VLOOKUP(A112,DB_TBL_DATA_FIELDS[[FIELD_ID]:[ERROR_MESSAGE]],23,FALSE),"")</f>
        <v/>
      </c>
      <c r="E112" s="151">
        <f>VLOOKUP(A112,DB_TBL_DATA_FIELDS[[#All],[FIELD_ID]:[RANGE_VALIDATION_MAX]],18,FALSE)</f>
        <v>0</v>
      </c>
      <c r="F112" s="151">
        <f>VLOOKUP(A112,DB_TBL_DATA_FIELDS[[#All],[FIELD_ID]:[RANGE_VALIDATION_MAX]],19,FALSE)</f>
        <v>1500</v>
      </c>
      <c r="G112" s="151" t="str">
        <f t="shared" ca="1" si="10"/>
        <v/>
      </c>
      <c r="H112" s="128"/>
      <c r="I112" s="360"/>
      <c r="J112" s="361"/>
      <c r="K112" s="361"/>
      <c r="L112" s="361"/>
      <c r="M112" s="361"/>
      <c r="N112" s="361"/>
      <c r="O112" s="361"/>
      <c r="P112" s="361"/>
      <c r="Q112" s="361"/>
      <c r="R112" s="361"/>
      <c r="S112" s="361"/>
      <c r="T112" s="361"/>
      <c r="U112" s="361"/>
      <c r="V112" s="361"/>
      <c r="W112" s="362"/>
      <c r="X112" s="85"/>
      <c r="Y112" s="111"/>
    </row>
    <row r="113" spans="1:25" ht="22.15" customHeight="1" x14ac:dyDescent="0.3">
      <c r="A113" s="143" t="s">
        <v>2467</v>
      </c>
      <c r="B113" s="158" t="str">
        <f>IF(W130="","",IF(UPPER(W130)="YES",TRUE,FALSE))</f>
        <v/>
      </c>
      <c r="C113" s="151">
        <f ca="1">VLOOKUP(A113,DB_TBL_DATA_FIELDS[[FIELD_ID]:[PCT_CALC_FIELD_STATUS_CODE]],22,FALSE)</f>
        <v>1</v>
      </c>
      <c r="D113" s="151" t="str">
        <f>IF(VLOOKUP(A113,DB_TBL_DATA_FIELDS[[FIELD_ID]:[ERROR_MESSAGE]],23,FALSE)&lt;&gt;0,VLOOKUP(A113,DB_TBL_DATA_FIELDS[[FIELD_ID]:[ERROR_MESSAGE]],23,FALSE),"")</f>
        <v/>
      </c>
      <c r="E113" s="151">
        <f>VLOOKUP(A113,DB_TBL_DATA_FIELDS[[#All],[FIELD_ID]:[RANGE_VALIDATION_MAX]],18,FALSE)</f>
        <v>0</v>
      </c>
      <c r="F113" s="151">
        <f>VLOOKUP(A113,DB_TBL_DATA_FIELDS[[#All],[FIELD_ID]:[RANGE_VALIDATION_MAX]],19,FALSE)</f>
        <v>0</v>
      </c>
      <c r="G113" s="151">
        <f t="shared" ca="1" si="10"/>
        <v>1</v>
      </c>
      <c r="H113" s="128"/>
      <c r="I113" s="360"/>
      <c r="J113" s="361"/>
      <c r="K113" s="361"/>
      <c r="L113" s="361"/>
      <c r="M113" s="361"/>
      <c r="N113" s="361"/>
      <c r="O113" s="361"/>
      <c r="P113" s="361"/>
      <c r="Q113" s="361"/>
      <c r="R113" s="361"/>
      <c r="S113" s="361"/>
      <c r="T113" s="361"/>
      <c r="U113" s="361"/>
      <c r="V113" s="361"/>
      <c r="W113" s="362"/>
      <c r="X113" s="85"/>
      <c r="Y113" s="111"/>
    </row>
    <row r="114" spans="1:25" ht="22.15" customHeight="1" x14ac:dyDescent="0.3">
      <c r="A114" s="143" t="s">
        <v>2678</v>
      </c>
      <c r="B114" s="158" t="str">
        <f>IF(W131="","",W131)</f>
        <v/>
      </c>
      <c r="C114" s="151">
        <f ca="1">VLOOKUP(A114,DB_TBL_DATA_FIELDS[[FIELD_ID]:[PCT_CALC_FIELD_STATUS_CODE]],22,FALSE)</f>
        <v>-1</v>
      </c>
      <c r="D114" s="151" t="str">
        <f>IF(VLOOKUP(A114,DB_TBL_DATA_FIELDS[[FIELD_ID]:[ERROR_MESSAGE]],23,FALSE)&lt;&gt;0,VLOOKUP(A114,DB_TBL_DATA_FIELDS[[FIELD_ID]:[ERROR_MESSAGE]],23,FALSE),"")</f>
        <v/>
      </c>
      <c r="E114" s="151">
        <f>VLOOKUP(A114,DB_TBL_DATA_FIELDS[[#All],[FIELD_ID]:[RANGE_VALIDATION_MAX]],18,FALSE)</f>
        <v>1</v>
      </c>
      <c r="F114" s="151">
        <f>VLOOKUP(A114,DB_TBL_DATA_FIELDS[[#All],[FIELD_ID]:[RANGE_VALIDATION_MAX]],19,FALSE)</f>
        <v>9999</v>
      </c>
      <c r="G114" s="151" t="str">
        <f t="shared" ca="1" si="10"/>
        <v/>
      </c>
      <c r="H114" s="128"/>
      <c r="I114" s="360"/>
      <c r="J114" s="361"/>
      <c r="K114" s="361"/>
      <c r="L114" s="361"/>
      <c r="M114" s="361"/>
      <c r="N114" s="361"/>
      <c r="O114" s="361"/>
      <c r="P114" s="361"/>
      <c r="Q114" s="361"/>
      <c r="R114" s="361"/>
      <c r="S114" s="361"/>
      <c r="T114" s="361"/>
      <c r="U114" s="361"/>
      <c r="V114" s="361"/>
      <c r="W114" s="362"/>
      <c r="X114" s="319"/>
      <c r="Y114" s="111"/>
    </row>
    <row r="115" spans="1:25" ht="22.15" customHeight="1" x14ac:dyDescent="0.3">
      <c r="A115" s="143" t="s">
        <v>2469</v>
      </c>
      <c r="B115" s="165">
        <f ca="1">VLOOKUP(A115,'$DB.DATA'!C:G,5,FALSE)</f>
        <v>0</v>
      </c>
      <c r="C115" s="151" t="str">
        <f ca="1">VLOOKUP(A115,DB_TBL_DATA_FIELDS[[FIELD_ID]:[PCT_CALC_FIELD_STATUS_CODE]],22,FALSE)</f>
        <v/>
      </c>
      <c r="D115" s="151" t="str">
        <f>IF(VLOOKUP(A115,DB_TBL_DATA_FIELDS[[FIELD_ID]:[ERROR_MESSAGE]],23,FALSE)&lt;&gt;0,VLOOKUP(A115,DB_TBL_DATA_FIELDS[[FIELD_ID]:[ERROR_MESSAGE]],23,FALSE),"")</f>
        <v/>
      </c>
      <c r="E115" s="151">
        <f>VLOOKUP(A115,DB_TBL_DATA_FIELDS[[#All],[FIELD_ID]:[RANGE_VALIDATION_MAX]],18,FALSE)</f>
        <v>0</v>
      </c>
      <c r="F115" s="151">
        <f>VLOOKUP(A115,DB_TBL_DATA_FIELDS[[#All],[FIELD_ID]:[RANGE_VALIDATION_MAX]],19,FALSE)</f>
        <v>9999</v>
      </c>
      <c r="G115" s="151" t="str">
        <f t="shared" ca="1" si="10"/>
        <v/>
      </c>
      <c r="H115" s="128"/>
      <c r="I115" s="360"/>
      <c r="J115" s="361"/>
      <c r="K115" s="361"/>
      <c r="L115" s="361"/>
      <c r="M115" s="361"/>
      <c r="N115" s="361"/>
      <c r="O115" s="361"/>
      <c r="P115" s="361"/>
      <c r="Q115" s="361"/>
      <c r="R115" s="361"/>
      <c r="S115" s="361"/>
      <c r="T115" s="361"/>
      <c r="U115" s="361"/>
      <c r="V115" s="361"/>
      <c r="W115" s="362"/>
      <c r="X115" s="319"/>
      <c r="Y115" s="111"/>
    </row>
    <row r="116" spans="1:25" ht="22.15" customHeight="1" x14ac:dyDescent="0.3">
      <c r="A116" s="143" t="s">
        <v>2475</v>
      </c>
      <c r="B116" s="158" t="str">
        <f>IF(W133="","",IF(UPPER(W133)="YES",TRUE,FALSE))</f>
        <v/>
      </c>
      <c r="C116" s="151">
        <f ca="1">VLOOKUP(A116,DB_TBL_DATA_FIELDS[[FIELD_ID]:[PCT_CALC_FIELD_STATUS_CODE]],22,FALSE)</f>
        <v>1</v>
      </c>
      <c r="D116" s="151" t="str">
        <f>IF(VLOOKUP(A116,DB_TBL_DATA_FIELDS[[FIELD_ID]:[ERROR_MESSAGE]],23,FALSE)&lt;&gt;0,VLOOKUP(A116,DB_TBL_DATA_FIELDS[[FIELD_ID]:[ERROR_MESSAGE]],23,FALSE),"")</f>
        <v/>
      </c>
      <c r="E116" s="151">
        <f>VLOOKUP(A116,DB_TBL_DATA_FIELDS[[#All],[FIELD_ID]:[RANGE_VALIDATION_MAX]],18,FALSE)</f>
        <v>0</v>
      </c>
      <c r="F116" s="151">
        <f>VLOOKUP(A116,DB_TBL_DATA_FIELDS[[#All],[FIELD_ID]:[RANGE_VALIDATION_MAX]],19,FALSE)</f>
        <v>0</v>
      </c>
      <c r="G116" s="151">
        <f t="shared" ca="1" si="10"/>
        <v>1</v>
      </c>
      <c r="H116" s="128"/>
      <c r="I116" s="360"/>
      <c r="J116" s="361"/>
      <c r="K116" s="361"/>
      <c r="L116" s="361"/>
      <c r="M116" s="361"/>
      <c r="N116" s="361"/>
      <c r="O116" s="361"/>
      <c r="P116" s="361"/>
      <c r="Q116" s="361"/>
      <c r="R116" s="361"/>
      <c r="S116" s="361"/>
      <c r="T116" s="361"/>
      <c r="U116" s="361"/>
      <c r="V116" s="361"/>
      <c r="W116" s="362"/>
      <c r="X116" s="319"/>
      <c r="Y116" s="111"/>
    </row>
    <row r="117" spans="1:25" ht="22.15" customHeight="1" x14ac:dyDescent="0.3">
      <c r="A117" s="143" t="s">
        <v>2476</v>
      </c>
      <c r="B117" s="158" t="str">
        <f>IF(W135="","",IF(UPPER(W135)="YES",TRUE,FALSE))</f>
        <v/>
      </c>
      <c r="C117" s="151">
        <f ca="1">VLOOKUP(A117,DB_TBL_DATA_FIELDS[[FIELD_ID]:[PCT_CALC_FIELD_STATUS_CODE]],22,FALSE)</f>
        <v>1</v>
      </c>
      <c r="D117" s="151" t="str">
        <f>IF(VLOOKUP(A117,DB_TBL_DATA_FIELDS[[FIELD_ID]:[ERROR_MESSAGE]],23,FALSE)&lt;&gt;0,VLOOKUP(A117,DB_TBL_DATA_FIELDS[[FIELD_ID]:[ERROR_MESSAGE]],23,FALSE),"")</f>
        <v/>
      </c>
      <c r="E117" s="151">
        <f>VLOOKUP(A117,DB_TBL_DATA_FIELDS[[#All],[FIELD_ID]:[RANGE_VALIDATION_MAX]],18,FALSE)</f>
        <v>0</v>
      </c>
      <c r="F117" s="151">
        <f>VLOOKUP(A117,DB_TBL_DATA_FIELDS[[#All],[FIELD_ID]:[RANGE_VALIDATION_MAX]],19,FALSE)</f>
        <v>0</v>
      </c>
      <c r="G117" s="151">
        <f t="shared" ca="1" si="10"/>
        <v>1</v>
      </c>
      <c r="H117" s="128"/>
      <c r="I117" s="360"/>
      <c r="J117" s="361"/>
      <c r="K117" s="361"/>
      <c r="L117" s="361"/>
      <c r="M117" s="361"/>
      <c r="N117" s="361"/>
      <c r="O117" s="361"/>
      <c r="P117" s="361"/>
      <c r="Q117" s="361"/>
      <c r="R117" s="361"/>
      <c r="S117" s="361"/>
      <c r="T117" s="361"/>
      <c r="U117" s="361"/>
      <c r="V117" s="361"/>
      <c r="W117" s="362"/>
      <c r="X117" s="319"/>
      <c r="Y117" s="111"/>
    </row>
    <row r="118" spans="1:25" ht="22.15" customHeight="1" x14ac:dyDescent="0.3">
      <c r="A118" s="143" t="s">
        <v>2477</v>
      </c>
      <c r="B118" s="158" t="str">
        <f>IF(W137="","",IF(UPPER(W137)="YES",TRUE,FALSE))</f>
        <v/>
      </c>
      <c r="C118" s="151">
        <f ca="1">VLOOKUP(A118,DB_TBL_DATA_FIELDS[[FIELD_ID]:[PCT_CALC_FIELD_STATUS_CODE]],22,FALSE)</f>
        <v>1</v>
      </c>
      <c r="D118" s="151" t="str">
        <f>IF(VLOOKUP(A118,DB_TBL_DATA_FIELDS[[FIELD_ID]:[ERROR_MESSAGE]],23,FALSE)&lt;&gt;0,VLOOKUP(A118,DB_TBL_DATA_FIELDS[[FIELD_ID]:[ERROR_MESSAGE]],23,FALSE),"")</f>
        <v/>
      </c>
      <c r="E118" s="151">
        <f>VLOOKUP(A118,DB_TBL_DATA_FIELDS[[#All],[FIELD_ID]:[RANGE_VALIDATION_MAX]],18,FALSE)</f>
        <v>0</v>
      </c>
      <c r="F118" s="151">
        <f>VLOOKUP(A118,DB_TBL_DATA_FIELDS[[#All],[FIELD_ID]:[RANGE_VALIDATION_MAX]],19,FALSE)</f>
        <v>0</v>
      </c>
      <c r="G118" s="151">
        <f t="shared" ca="1" si="10"/>
        <v>1</v>
      </c>
      <c r="H118" s="128"/>
      <c r="I118" s="347"/>
      <c r="J118" s="348"/>
      <c r="K118" s="348"/>
      <c r="L118" s="348"/>
      <c r="M118" s="348"/>
      <c r="N118" s="348"/>
      <c r="O118" s="348"/>
      <c r="P118" s="348"/>
      <c r="Q118" s="348"/>
      <c r="R118" s="348"/>
      <c r="S118" s="348"/>
      <c r="T118" s="348"/>
      <c r="U118" s="348"/>
      <c r="V118" s="348"/>
      <c r="W118" s="349"/>
      <c r="X118" s="319"/>
      <c r="Y118" s="111"/>
    </row>
    <row r="119" spans="1:25" ht="22.15" customHeight="1" x14ac:dyDescent="0.3">
      <c r="A119" s="143" t="s">
        <v>2478</v>
      </c>
      <c r="B119" s="158" t="str">
        <f>IF(W139="","",IF(UPPER(W139)="YES",TRUE,FALSE))</f>
        <v/>
      </c>
      <c r="C119" s="151">
        <f ca="1">VLOOKUP(A119,DB_TBL_DATA_FIELDS[[FIELD_ID]:[PCT_CALC_FIELD_STATUS_CODE]],22,FALSE)</f>
        <v>1</v>
      </c>
      <c r="D119" s="151" t="str">
        <f>IF(VLOOKUP(A119,DB_TBL_DATA_FIELDS[[FIELD_ID]:[ERROR_MESSAGE]],23,FALSE)&lt;&gt;0,VLOOKUP(A119,DB_TBL_DATA_FIELDS[[FIELD_ID]:[ERROR_MESSAGE]],23,FALSE),"")</f>
        <v/>
      </c>
      <c r="E119" s="151">
        <f>VLOOKUP(A119,DB_TBL_DATA_FIELDS[[#All],[FIELD_ID]:[RANGE_VALIDATION_MAX]],18,FALSE)</f>
        <v>0</v>
      </c>
      <c r="F119" s="151">
        <f>VLOOKUP(A119,DB_TBL_DATA_FIELDS[[#All],[FIELD_ID]:[RANGE_VALIDATION_MAX]],19,FALSE)</f>
        <v>0</v>
      </c>
      <c r="G119" s="151">
        <f t="shared" ca="1" si="10"/>
        <v>1</v>
      </c>
      <c r="H119" s="128"/>
      <c r="I119" s="110"/>
      <c r="J119" s="110"/>
      <c r="K119" s="110"/>
      <c r="L119" s="110"/>
      <c r="M119" s="110"/>
      <c r="N119" s="110"/>
      <c r="O119" s="110"/>
      <c r="P119" s="85"/>
      <c r="Q119" s="111"/>
      <c r="R119" s="85"/>
      <c r="S119" s="111"/>
      <c r="T119" s="85"/>
      <c r="U119" s="111"/>
      <c r="V119" s="85"/>
      <c r="W119" s="111"/>
      <c r="X119" s="85"/>
      <c r="Y119" s="111"/>
    </row>
    <row r="120" spans="1:25" ht="22.15" customHeight="1" x14ac:dyDescent="0.3">
      <c r="A120" s="143" t="s">
        <v>2481</v>
      </c>
      <c r="B120" s="158" t="str">
        <f>IF(W143="","",W143)</f>
        <v/>
      </c>
      <c r="C120" s="151">
        <f ca="1">VLOOKUP(A120,DB_TBL_DATA_FIELDS[[FIELD_ID]:[PCT_CALC_FIELD_STATUS_CODE]],22,FALSE)</f>
        <v>-1</v>
      </c>
      <c r="D120" s="151" t="str">
        <f>IF(VLOOKUP(A120,DB_TBL_DATA_FIELDS[[FIELD_ID]:[ERROR_MESSAGE]],23,FALSE)&lt;&gt;0,VLOOKUP(A120,DB_TBL_DATA_FIELDS[[FIELD_ID]:[ERROR_MESSAGE]],23,FALSE),"")</f>
        <v/>
      </c>
      <c r="E120" s="151">
        <f>VLOOKUP(A120,DB_TBL_DATA_FIELDS[[#All],[FIELD_ID]:[RANGE_VALIDATION_MAX]],18,FALSE)</f>
        <v>0</v>
      </c>
      <c r="F120" s="151">
        <f>VLOOKUP(A120,DB_TBL_DATA_FIELDS[[#All],[FIELD_ID]:[RANGE_VALIDATION_MAX]],19,FALSE)</f>
        <v>999999999999</v>
      </c>
      <c r="G120" s="151" t="str">
        <f t="shared" ca="1" si="10"/>
        <v/>
      </c>
      <c r="H120" s="128"/>
      <c r="I120" s="120" t="s">
        <v>226</v>
      </c>
      <c r="J120" s="212"/>
      <c r="K120" s="212"/>
      <c r="L120" s="212"/>
      <c r="M120" s="212"/>
      <c r="N120" s="212"/>
      <c r="O120" s="212"/>
      <c r="P120" s="135"/>
      <c r="Q120" s="135"/>
      <c r="R120" s="135"/>
      <c r="S120" s="356"/>
      <c r="T120" s="357"/>
      <c r="U120" s="357"/>
      <c r="V120" s="357"/>
      <c r="W120" s="358"/>
      <c r="X120" s="96">
        <f ca="1">G111</f>
        <v>1</v>
      </c>
      <c r="Y120" s="111"/>
    </row>
    <row r="121" spans="1:25" ht="22.15" customHeight="1" x14ac:dyDescent="0.3">
      <c r="A121" s="143" t="s">
        <v>2482</v>
      </c>
      <c r="B121" s="158" t="str">
        <f>IF(W144="","",W144)</f>
        <v/>
      </c>
      <c r="C121" s="151">
        <f ca="1">VLOOKUP(A121,DB_TBL_DATA_FIELDS[[FIELD_ID]:[PCT_CALC_FIELD_STATUS_CODE]],22,FALSE)</f>
        <v>-1</v>
      </c>
      <c r="D121" s="151" t="str">
        <f>IF(VLOOKUP(A121,DB_TBL_DATA_FIELDS[[FIELD_ID]:[ERROR_MESSAGE]],23,FALSE)&lt;&gt;0,VLOOKUP(A121,DB_TBL_DATA_FIELDS[[FIELD_ID]:[ERROR_MESSAGE]],23,FALSE),"")</f>
        <v/>
      </c>
      <c r="E121" s="151">
        <f>VLOOKUP(A121,DB_TBL_DATA_FIELDS[[#All],[FIELD_ID]:[RANGE_VALIDATION_MAX]],18,FALSE)</f>
        <v>0</v>
      </c>
      <c r="F121" s="151">
        <f>VLOOKUP(A121,DB_TBL_DATA_FIELDS[[#All],[FIELD_ID]:[RANGE_VALIDATION_MAX]],19,FALSE)</f>
        <v>999999999999</v>
      </c>
      <c r="G121" s="151" t="str">
        <f t="shared" ca="1" si="10"/>
        <v/>
      </c>
      <c r="H121" s="128"/>
      <c r="I121" s="120" t="s">
        <v>2680</v>
      </c>
      <c r="J121" s="110"/>
      <c r="K121" s="110"/>
      <c r="L121" s="110"/>
      <c r="M121" s="110"/>
      <c r="N121" s="110"/>
      <c r="O121" s="110"/>
      <c r="P121" s="85"/>
      <c r="Q121" s="111"/>
      <c r="R121" s="85"/>
      <c r="S121" s="111"/>
      <c r="T121" s="85"/>
      <c r="U121" s="111"/>
      <c r="V121" s="85"/>
      <c r="W121" s="111"/>
      <c r="X121" s="85"/>
      <c r="Y121" s="111"/>
    </row>
    <row r="122" spans="1:25" ht="22.15" customHeight="1" x14ac:dyDescent="0.3">
      <c r="A122" s="143" t="s">
        <v>2479</v>
      </c>
      <c r="B122" s="158" t="str">
        <f>IF(W148="","",W148)</f>
        <v/>
      </c>
      <c r="C122" s="151">
        <f ca="1">VLOOKUP(A122,DB_TBL_DATA_FIELDS[[FIELD_ID]:[PCT_CALC_FIELD_STATUS_CODE]],22,FALSE)</f>
        <v>-1</v>
      </c>
      <c r="D122" s="151" t="str">
        <f>IF(VLOOKUP(A122,DB_TBL_DATA_FIELDS[[FIELD_ID]:[ERROR_MESSAGE]],23,FALSE)&lt;&gt;0,VLOOKUP(A122,DB_TBL_DATA_FIELDS[[FIELD_ID]:[ERROR_MESSAGE]],23,FALSE),"")</f>
        <v/>
      </c>
      <c r="E122" s="151">
        <f>VLOOKUP(A122,DB_TBL_DATA_FIELDS[[#All],[FIELD_ID]:[RANGE_VALIDATION_MAX]],18,FALSE)</f>
        <v>0</v>
      </c>
      <c r="F122" s="151">
        <f>VLOOKUP(A122,DB_TBL_DATA_FIELDS[[#All],[FIELD_ID]:[RANGE_VALIDATION_MAX]],19,FALSE)</f>
        <v>999999999999</v>
      </c>
      <c r="G122" s="151" t="str">
        <f t="shared" ca="1" si="10"/>
        <v/>
      </c>
      <c r="H122" s="128"/>
      <c r="I122" s="344"/>
      <c r="J122" s="345"/>
      <c r="K122" s="345"/>
      <c r="L122" s="345"/>
      <c r="M122" s="345"/>
      <c r="N122" s="345"/>
      <c r="O122" s="345"/>
      <c r="P122" s="345"/>
      <c r="Q122" s="345"/>
      <c r="R122" s="345"/>
      <c r="S122" s="345"/>
      <c r="T122" s="345"/>
      <c r="U122" s="345"/>
      <c r="V122" s="345"/>
      <c r="W122" s="346"/>
      <c r="X122" s="96" t="str">
        <f ca="1">G112</f>
        <v/>
      </c>
      <c r="Y122" s="111"/>
    </row>
    <row r="123" spans="1:25" ht="22.15" customHeight="1" x14ac:dyDescent="0.3">
      <c r="A123" s="143" t="s">
        <v>2480</v>
      </c>
      <c r="B123" s="158" t="str">
        <f>IF(W149="","",W149)</f>
        <v/>
      </c>
      <c r="C123" s="151">
        <f ca="1">VLOOKUP(A123,DB_TBL_DATA_FIELDS[[FIELD_ID]:[PCT_CALC_FIELD_STATUS_CODE]],22,FALSE)</f>
        <v>-1</v>
      </c>
      <c r="D123" s="151" t="str">
        <f>IF(VLOOKUP(A123,DB_TBL_DATA_FIELDS[[FIELD_ID]:[ERROR_MESSAGE]],23,FALSE)&lt;&gt;0,VLOOKUP(A123,DB_TBL_DATA_FIELDS[[FIELD_ID]:[ERROR_MESSAGE]],23,FALSE),"")</f>
        <v/>
      </c>
      <c r="E123" s="151">
        <f>VLOOKUP(A123,DB_TBL_DATA_FIELDS[[#All],[FIELD_ID]:[RANGE_VALIDATION_MAX]],18,FALSE)</f>
        <v>0</v>
      </c>
      <c r="F123" s="151">
        <f>VLOOKUP(A123,DB_TBL_DATA_FIELDS[[#All],[FIELD_ID]:[RANGE_VALIDATION_MAX]],19,FALSE)</f>
        <v>999999999999</v>
      </c>
      <c r="G123" s="151" t="str">
        <f t="shared" ca="1" si="10"/>
        <v/>
      </c>
      <c r="H123" s="128"/>
      <c r="I123" s="360"/>
      <c r="J123" s="361"/>
      <c r="K123" s="361"/>
      <c r="L123" s="361"/>
      <c r="M123" s="361"/>
      <c r="N123" s="361"/>
      <c r="O123" s="361"/>
      <c r="P123" s="361"/>
      <c r="Q123" s="361"/>
      <c r="R123" s="361"/>
      <c r="S123" s="361"/>
      <c r="T123" s="361"/>
      <c r="U123" s="361"/>
      <c r="V123" s="361"/>
      <c r="W123" s="362"/>
      <c r="X123" s="85"/>
      <c r="Y123" s="111"/>
    </row>
    <row r="124" spans="1:25" ht="22.15" customHeight="1" x14ac:dyDescent="0.3">
      <c r="A124" s="143" t="s">
        <v>2483</v>
      </c>
      <c r="B124" s="158" t="str">
        <f>IF(W153="","",W153)</f>
        <v/>
      </c>
      <c r="C124" s="151">
        <f ca="1">VLOOKUP(A124,DB_TBL_DATA_FIELDS[[FIELD_ID]:[PCT_CALC_FIELD_STATUS_CODE]],22,FALSE)</f>
        <v>-1</v>
      </c>
      <c r="D124" s="151" t="str">
        <f>IF(VLOOKUP(A124,DB_TBL_DATA_FIELDS[[FIELD_ID]:[ERROR_MESSAGE]],23,FALSE)&lt;&gt;0,VLOOKUP(A124,DB_TBL_DATA_FIELDS[[FIELD_ID]:[ERROR_MESSAGE]],23,FALSE),"")</f>
        <v/>
      </c>
      <c r="E124" s="151">
        <f>VLOOKUP(A124,DB_TBL_DATA_FIELDS[[#All],[FIELD_ID]:[RANGE_VALIDATION_MAX]],18,FALSE)</f>
        <v>0</v>
      </c>
      <c r="F124" s="151">
        <f>VLOOKUP(A124,DB_TBL_DATA_FIELDS[[#All],[FIELD_ID]:[RANGE_VALIDATION_MAX]],19,FALSE)</f>
        <v>999999999999</v>
      </c>
      <c r="G124" s="151" t="str">
        <f t="shared" ca="1" si="10"/>
        <v/>
      </c>
      <c r="H124" s="128"/>
      <c r="I124" s="347"/>
      <c r="J124" s="348"/>
      <c r="K124" s="348"/>
      <c r="L124" s="348"/>
      <c r="M124" s="348"/>
      <c r="N124" s="348"/>
      <c r="O124" s="348"/>
      <c r="P124" s="348"/>
      <c r="Q124" s="348"/>
      <c r="R124" s="348"/>
      <c r="S124" s="348"/>
      <c r="T124" s="348"/>
      <c r="U124" s="348"/>
      <c r="V124" s="348"/>
      <c r="W124" s="349"/>
      <c r="X124" s="85"/>
      <c r="Y124" s="111"/>
    </row>
    <row r="125" spans="1:25" ht="22.15" customHeight="1" x14ac:dyDescent="0.3">
      <c r="A125" s="143" t="s">
        <v>2484</v>
      </c>
      <c r="B125" s="158" t="str">
        <f>IF(W154="","",W154)</f>
        <v/>
      </c>
      <c r="C125" s="151">
        <f ca="1">VLOOKUP(A125,DB_TBL_DATA_FIELDS[[FIELD_ID]:[PCT_CALC_FIELD_STATUS_CODE]],22,FALSE)</f>
        <v>-1</v>
      </c>
      <c r="D125" s="151" t="str">
        <f>IF(VLOOKUP(A125,DB_TBL_DATA_FIELDS[[FIELD_ID]:[ERROR_MESSAGE]],23,FALSE)&lt;&gt;0,VLOOKUP(A125,DB_TBL_DATA_FIELDS[[FIELD_ID]:[ERROR_MESSAGE]],23,FALSE),"")</f>
        <v/>
      </c>
      <c r="E125" s="151">
        <f>VLOOKUP(A125,DB_TBL_DATA_FIELDS[[#All],[FIELD_ID]:[RANGE_VALIDATION_MAX]],18,FALSE)</f>
        <v>0</v>
      </c>
      <c r="F125" s="151">
        <f>VLOOKUP(A125,DB_TBL_DATA_FIELDS[[#All],[FIELD_ID]:[RANGE_VALIDATION_MAX]],19,FALSE)</f>
        <v>999999999999</v>
      </c>
      <c r="G125" s="151" t="str">
        <f t="shared" ca="1" si="10"/>
        <v/>
      </c>
      <c r="H125" s="128"/>
      <c r="I125" s="133"/>
      <c r="J125" s="110"/>
      <c r="K125" s="133"/>
      <c r="L125" s="110"/>
      <c r="M125" s="133"/>
      <c r="N125" s="110"/>
      <c r="O125" s="133"/>
      <c r="P125" s="85"/>
      <c r="Q125" s="111"/>
      <c r="R125" s="85"/>
      <c r="S125" s="111"/>
      <c r="T125" s="85"/>
      <c r="U125" s="111"/>
      <c r="V125" s="85"/>
      <c r="W125" s="111"/>
      <c r="X125" s="85"/>
      <c r="Y125" s="111"/>
    </row>
    <row r="126" spans="1:25" ht="22.15" customHeight="1" thickBot="1" x14ac:dyDescent="0.35">
      <c r="A126" s="143" t="s">
        <v>2485</v>
      </c>
      <c r="B126" s="158" t="str">
        <f>IF(W158="","",W158)</f>
        <v/>
      </c>
      <c r="C126" s="151">
        <f ca="1">VLOOKUP(A126,DB_TBL_DATA_FIELDS[[FIELD_ID]:[PCT_CALC_FIELD_STATUS_CODE]],22,FALSE)</f>
        <v>-1</v>
      </c>
      <c r="D126" s="151" t="str">
        <f>IF(VLOOKUP(A126,DB_TBL_DATA_FIELDS[[FIELD_ID]:[ERROR_MESSAGE]],23,FALSE)&lt;&gt;0,VLOOKUP(A126,DB_TBL_DATA_FIELDS[[FIELD_ID]:[ERROR_MESSAGE]],23,FALSE),"")</f>
        <v/>
      </c>
      <c r="E126" s="151">
        <f>VLOOKUP(A126,DB_TBL_DATA_FIELDS[[#All],[FIELD_ID]:[RANGE_VALIDATION_MAX]],18,FALSE)</f>
        <v>0</v>
      </c>
      <c r="F126" s="151">
        <f>VLOOKUP(A126,DB_TBL_DATA_FIELDS[[#All],[FIELD_ID]:[RANGE_VALIDATION_MAX]],19,FALSE)</f>
        <v>999999999999</v>
      </c>
      <c r="G126" s="151" t="str">
        <f t="shared" ca="1" si="10"/>
        <v/>
      </c>
      <c r="H126" s="128"/>
      <c r="I126" s="226" t="s">
        <v>2693</v>
      </c>
      <c r="J126" s="229"/>
      <c r="K126" s="229"/>
      <c r="L126" s="229"/>
      <c r="M126" s="229"/>
      <c r="N126" s="229"/>
      <c r="O126" s="229"/>
      <c r="P126" s="230"/>
      <c r="Q126" s="231"/>
      <c r="R126" s="230"/>
      <c r="S126" s="231"/>
      <c r="T126" s="230"/>
      <c r="U126" s="231"/>
      <c r="V126" s="230"/>
      <c r="W126" s="231"/>
      <c r="X126" s="85"/>
      <c r="Y126" s="111"/>
    </row>
    <row r="127" spans="1:25" ht="22.15" customHeight="1" x14ac:dyDescent="0.3">
      <c r="A127" s="143" t="s">
        <v>2486</v>
      </c>
      <c r="B127" s="158" t="str">
        <f>IF(W159="","",W159)</f>
        <v/>
      </c>
      <c r="C127" s="151">
        <f ca="1">VLOOKUP(A127,DB_TBL_DATA_FIELDS[[FIELD_ID]:[PCT_CALC_FIELD_STATUS_CODE]],22,FALSE)</f>
        <v>-1</v>
      </c>
      <c r="D127" s="151" t="str">
        <f>IF(VLOOKUP(A127,DB_TBL_DATA_FIELDS[[FIELD_ID]:[ERROR_MESSAGE]],23,FALSE)&lt;&gt;0,VLOOKUP(A127,DB_TBL_DATA_FIELDS[[FIELD_ID]:[ERROR_MESSAGE]],23,FALSE),"")</f>
        <v/>
      </c>
      <c r="E127" s="151">
        <f>VLOOKUP(A127,DB_TBL_DATA_FIELDS[[#All],[FIELD_ID]:[RANGE_VALIDATION_MAX]],18,FALSE)</f>
        <v>0</v>
      </c>
      <c r="F127" s="151">
        <f>VLOOKUP(A127,DB_TBL_DATA_FIELDS[[#All],[FIELD_ID]:[RANGE_VALIDATION_MAX]],19,FALSE)</f>
        <v>999999999999</v>
      </c>
      <c r="G127" s="151" t="str">
        <f t="shared" ca="1" si="10"/>
        <v/>
      </c>
      <c r="H127" s="128"/>
      <c r="X127" s="96"/>
      <c r="Y127" s="111"/>
    </row>
    <row r="128" spans="1:25" ht="22.15" customHeight="1" thickBot="1" x14ac:dyDescent="0.35">
      <c r="A128" s="143" t="s">
        <v>2497</v>
      </c>
      <c r="B128" s="158" t="str">
        <f>IF(W163="","",W163)</f>
        <v/>
      </c>
      <c r="C128" s="151">
        <f ca="1">VLOOKUP(A128,DB_TBL_DATA_FIELDS[[FIELD_ID]:[PCT_CALC_FIELD_STATUS_CODE]],22,FALSE)</f>
        <v>-1</v>
      </c>
      <c r="D128" s="151" t="str">
        <f>IF(VLOOKUP(A128,DB_TBL_DATA_FIELDS[[FIELD_ID]:[ERROR_MESSAGE]],23,FALSE)&lt;&gt;0,VLOOKUP(A128,DB_TBL_DATA_FIELDS[[FIELD_ID]:[ERROR_MESSAGE]],23,FALSE),"")</f>
        <v/>
      </c>
      <c r="E128" s="151">
        <f>VLOOKUP(A128,DB_TBL_DATA_FIELDS[[#All],[FIELD_ID]:[RANGE_VALIDATION_MAX]],18,FALSE)</f>
        <v>0</v>
      </c>
      <c r="F128" s="151">
        <f>VLOOKUP(A128,DB_TBL_DATA_FIELDS[[#All],[FIELD_ID]:[RANGE_VALIDATION_MAX]],19,FALSE)</f>
        <v>999999999999</v>
      </c>
      <c r="G128" s="151" t="str">
        <f t="shared" ca="1" si="10"/>
        <v/>
      </c>
      <c r="H128" s="128"/>
      <c r="I128" s="129" t="s">
        <v>2681</v>
      </c>
      <c r="J128" s="227"/>
      <c r="K128" s="228"/>
      <c r="L128" s="227"/>
      <c r="M128" s="228"/>
      <c r="N128" s="227"/>
      <c r="O128" s="228"/>
      <c r="P128" s="227"/>
      <c r="Q128" s="228"/>
      <c r="R128" s="227"/>
      <c r="S128" s="228"/>
      <c r="T128" s="227"/>
      <c r="U128" s="228"/>
      <c r="V128" s="227"/>
      <c r="W128" s="228"/>
      <c r="X128" s="96"/>
      <c r="Y128" s="111"/>
    </row>
    <row r="129" spans="1:25" ht="22.15" customHeight="1" thickTop="1" x14ac:dyDescent="0.3">
      <c r="A129" s="143" t="s">
        <v>2498</v>
      </c>
      <c r="B129" s="158" t="str">
        <f>IF(W164="","",W164)</f>
        <v/>
      </c>
      <c r="C129" s="151">
        <f ca="1">VLOOKUP(A129,DB_TBL_DATA_FIELDS[[FIELD_ID]:[PCT_CALC_FIELD_STATUS_CODE]],22,FALSE)</f>
        <v>-1</v>
      </c>
      <c r="D129" s="151" t="str">
        <f>IF(VLOOKUP(A129,DB_TBL_DATA_FIELDS[[FIELD_ID]:[ERROR_MESSAGE]],23,FALSE)&lt;&gt;0,VLOOKUP(A129,DB_TBL_DATA_FIELDS[[FIELD_ID]:[ERROR_MESSAGE]],23,FALSE),"")</f>
        <v/>
      </c>
      <c r="E129" s="151">
        <f>VLOOKUP(A129,DB_TBL_DATA_FIELDS[[#All],[FIELD_ID]:[RANGE_VALIDATION_MAX]],18,FALSE)</f>
        <v>0</v>
      </c>
      <c r="F129" s="151">
        <f>VLOOKUP(A129,DB_TBL_DATA_FIELDS[[#All],[FIELD_ID]:[RANGE_VALIDATION_MAX]],19,FALSE)</f>
        <v>999999999999</v>
      </c>
      <c r="G129" s="151" t="str">
        <f t="shared" ca="1" si="10"/>
        <v/>
      </c>
      <c r="H129" s="128"/>
      <c r="I129" s="133"/>
      <c r="J129" s="110"/>
      <c r="K129" s="133"/>
      <c r="L129" s="110"/>
      <c r="M129" s="133"/>
      <c r="N129" s="110"/>
      <c r="O129" s="133"/>
      <c r="P129" s="85"/>
      <c r="Q129" s="111"/>
      <c r="R129" s="85"/>
      <c r="S129" s="111"/>
      <c r="T129" s="85"/>
      <c r="U129" s="111"/>
      <c r="V129" s="85"/>
      <c r="W129" s="111"/>
      <c r="X129" s="85"/>
      <c r="Y129" s="111"/>
    </row>
    <row r="130" spans="1:25" ht="22.15" customHeight="1" x14ac:dyDescent="0.3">
      <c r="A130" s="143" t="s">
        <v>2507</v>
      </c>
      <c r="B130" s="233" t="b">
        <v>0</v>
      </c>
      <c r="C130" s="151" t="str">
        <f ca="1">VLOOKUP(A130,DB_TBL_DATA_FIELDS[[FIELD_ID]:[PCT_CALC_FIELD_STATUS_CODE]],22,FALSE)</f>
        <v/>
      </c>
      <c r="D130" s="151" t="str">
        <f>IF(VLOOKUP(A130,DB_TBL_DATA_FIELDS[[FIELD_ID]:[ERROR_MESSAGE]],23,FALSE)&lt;&gt;0,VLOOKUP(A130,DB_TBL_DATA_FIELDS[[FIELD_ID]:[ERROR_MESSAGE]],23,FALSE),"")</f>
        <v/>
      </c>
      <c r="E130" s="151">
        <f>VLOOKUP(A130,DB_TBL_DATA_FIELDS[[#All],[FIELD_ID]:[RANGE_VALIDATION_MAX]],18,FALSE)</f>
        <v>0</v>
      </c>
      <c r="F130" s="151">
        <f>VLOOKUP(A130,DB_TBL_DATA_FIELDS[[#All],[FIELD_ID]:[RANGE_VALIDATION_MAX]],19,FALSE)</f>
        <v>0</v>
      </c>
      <c r="G130" s="151" t="str">
        <f t="shared" ca="1" si="10"/>
        <v/>
      </c>
      <c r="H130" s="128"/>
      <c r="I130" s="122" t="s">
        <v>2682</v>
      </c>
      <c r="J130" s="122"/>
      <c r="K130" s="122"/>
      <c r="L130" s="122"/>
      <c r="M130" s="122"/>
      <c r="N130" s="122"/>
      <c r="O130" s="122"/>
      <c r="P130" s="122"/>
      <c r="Q130" s="122"/>
      <c r="R130" s="122"/>
      <c r="S130" s="122"/>
      <c r="T130" s="122"/>
      <c r="U130" s="122"/>
      <c r="V130" s="85"/>
      <c r="W130" s="210"/>
      <c r="X130" s="96">
        <f ca="1">G113</f>
        <v>1</v>
      </c>
      <c r="Y130" s="111"/>
    </row>
    <row r="131" spans="1:25" ht="22.15" customHeight="1" x14ac:dyDescent="0.3">
      <c r="A131" s="143" t="s">
        <v>2508</v>
      </c>
      <c r="B131" s="233" t="b">
        <v>0</v>
      </c>
      <c r="C131" s="151" t="str">
        <f ca="1">VLOOKUP(A131,DB_TBL_DATA_FIELDS[[FIELD_ID]:[PCT_CALC_FIELD_STATUS_CODE]],22,FALSE)</f>
        <v/>
      </c>
      <c r="D131" s="151" t="str">
        <f>IF(VLOOKUP(A131,DB_TBL_DATA_FIELDS[[FIELD_ID]:[ERROR_MESSAGE]],23,FALSE)&lt;&gt;0,VLOOKUP(A131,DB_TBL_DATA_FIELDS[[FIELD_ID]:[ERROR_MESSAGE]],23,FALSE),"")</f>
        <v/>
      </c>
      <c r="E131" s="151">
        <f>VLOOKUP(A131,DB_TBL_DATA_FIELDS[[#All],[FIELD_ID]:[RANGE_VALIDATION_MAX]],18,FALSE)</f>
        <v>0</v>
      </c>
      <c r="F131" s="151">
        <f>VLOOKUP(A131,DB_TBL_DATA_FIELDS[[#All],[FIELD_ID]:[RANGE_VALIDATION_MAX]],19,FALSE)</f>
        <v>0</v>
      </c>
      <c r="G131" s="151" t="str">
        <f t="shared" ca="1" si="10"/>
        <v/>
      </c>
      <c r="H131" s="128"/>
      <c r="I131" s="137" t="s">
        <v>2683</v>
      </c>
      <c r="J131" s="110"/>
      <c r="K131" s="133"/>
      <c r="L131" s="110"/>
      <c r="M131" s="133"/>
      <c r="N131" s="110"/>
      <c r="O131" s="133"/>
      <c r="P131" s="85"/>
      <c r="Q131" s="111"/>
      <c r="R131" s="85"/>
      <c r="S131" s="111"/>
      <c r="T131" s="85"/>
      <c r="U131" s="111"/>
      <c r="V131" s="85"/>
      <c r="W131" s="210"/>
      <c r="X131" s="96" t="str">
        <f ca="1">G114</f>
        <v/>
      </c>
      <c r="Y131" s="111"/>
    </row>
    <row r="132" spans="1:25" ht="22.15" customHeight="1" x14ac:dyDescent="0.3">
      <c r="A132" s="143" t="s">
        <v>2509</v>
      </c>
      <c r="B132" s="233" t="b">
        <v>0</v>
      </c>
      <c r="C132" s="151" t="str">
        <f ca="1">VLOOKUP(A132,DB_TBL_DATA_FIELDS[[FIELD_ID]:[PCT_CALC_FIELD_STATUS_CODE]],22,FALSE)</f>
        <v/>
      </c>
      <c r="D132" s="151" t="str">
        <f>IF(VLOOKUP(A132,DB_TBL_DATA_FIELDS[[FIELD_ID]:[ERROR_MESSAGE]],23,FALSE)&lt;&gt;0,VLOOKUP(A132,DB_TBL_DATA_FIELDS[[FIELD_ID]:[ERROR_MESSAGE]],23,FALSE),"")</f>
        <v/>
      </c>
      <c r="E132" s="151">
        <f>VLOOKUP(A132,DB_TBL_DATA_FIELDS[[#All],[FIELD_ID]:[RANGE_VALIDATION_MAX]],18,FALSE)</f>
        <v>0</v>
      </c>
      <c r="F132" s="151">
        <f>VLOOKUP(A132,DB_TBL_DATA_FIELDS[[#All],[FIELD_ID]:[RANGE_VALIDATION_MAX]],19,FALSE)</f>
        <v>0</v>
      </c>
      <c r="G132" s="151" t="str">
        <f t="shared" ca="1" si="10"/>
        <v/>
      </c>
      <c r="H132" s="128"/>
      <c r="I132" s="133"/>
      <c r="J132" s="110"/>
      <c r="K132" s="133"/>
      <c r="L132" s="110"/>
      <c r="M132" s="133"/>
      <c r="N132" s="110"/>
      <c r="O132" s="133"/>
      <c r="P132" s="85"/>
      <c r="Q132" s="111"/>
      <c r="R132" s="85"/>
      <c r="S132" s="111"/>
      <c r="T132" s="85"/>
      <c r="U132" s="111"/>
      <c r="V132" s="85"/>
      <c r="W132" s="111"/>
      <c r="X132" s="85"/>
      <c r="Y132" s="111"/>
    </row>
    <row r="133" spans="1:25" ht="22.15" customHeight="1" x14ac:dyDescent="0.3">
      <c r="A133" s="143" t="s">
        <v>2510</v>
      </c>
      <c r="B133" s="233" t="b">
        <v>0</v>
      </c>
      <c r="C133" s="151" t="str">
        <f ca="1">VLOOKUP(A133,DB_TBL_DATA_FIELDS[[FIELD_ID]:[PCT_CALC_FIELD_STATUS_CODE]],22,FALSE)</f>
        <v/>
      </c>
      <c r="D133" s="151" t="str">
        <f>IF(VLOOKUP(A133,DB_TBL_DATA_FIELDS[[FIELD_ID]:[ERROR_MESSAGE]],23,FALSE)&lt;&gt;0,VLOOKUP(A133,DB_TBL_DATA_FIELDS[[FIELD_ID]:[ERROR_MESSAGE]],23,FALSE),"")</f>
        <v/>
      </c>
      <c r="E133" s="151">
        <f>VLOOKUP(A133,DB_TBL_DATA_FIELDS[[#All],[FIELD_ID]:[RANGE_VALIDATION_MAX]],18,FALSE)</f>
        <v>0</v>
      </c>
      <c r="F133" s="151">
        <f>VLOOKUP(A133,DB_TBL_DATA_FIELDS[[#All],[FIELD_ID]:[RANGE_VALIDATION_MAX]],19,FALSE)</f>
        <v>0</v>
      </c>
      <c r="G133" s="151" t="str">
        <f t="shared" ca="1" si="10"/>
        <v/>
      </c>
      <c r="H133" s="128"/>
      <c r="I133" s="355" t="s">
        <v>2684</v>
      </c>
      <c r="J133" s="355"/>
      <c r="K133" s="355"/>
      <c r="L133" s="355"/>
      <c r="M133" s="355"/>
      <c r="N133" s="355"/>
      <c r="O133" s="355"/>
      <c r="P133" s="355"/>
      <c r="Q133" s="355"/>
      <c r="R133" s="355"/>
      <c r="S133" s="355"/>
      <c r="T133" s="355"/>
      <c r="U133" s="355"/>
      <c r="V133" s="85"/>
      <c r="W133" s="210"/>
      <c r="X133" s="96">
        <f ca="1">G116</f>
        <v>1</v>
      </c>
      <c r="Y133" s="111"/>
    </row>
    <row r="134" spans="1:25" ht="22.15" customHeight="1" x14ac:dyDescent="0.3">
      <c r="A134" s="143" t="s">
        <v>2511</v>
      </c>
      <c r="B134" s="233" t="b">
        <v>0</v>
      </c>
      <c r="C134" s="151" t="str">
        <f ca="1">VLOOKUP(A134,DB_TBL_DATA_FIELDS[[FIELD_ID]:[PCT_CALC_FIELD_STATUS_CODE]],22,FALSE)</f>
        <v/>
      </c>
      <c r="D134" s="151" t="str">
        <f>IF(VLOOKUP(A134,DB_TBL_DATA_FIELDS[[FIELD_ID]:[ERROR_MESSAGE]],23,FALSE)&lt;&gt;0,VLOOKUP(A134,DB_TBL_DATA_FIELDS[[FIELD_ID]:[ERROR_MESSAGE]],23,FALSE),"")</f>
        <v/>
      </c>
      <c r="E134" s="151">
        <f>VLOOKUP(A134,DB_TBL_DATA_FIELDS[[#All],[FIELD_ID]:[RANGE_VALIDATION_MAX]],18,FALSE)</f>
        <v>0</v>
      </c>
      <c r="F134" s="151">
        <f>VLOOKUP(A134,DB_TBL_DATA_FIELDS[[#All],[FIELD_ID]:[RANGE_VALIDATION_MAX]],19,FALSE)</f>
        <v>0</v>
      </c>
      <c r="G134" s="151" t="str">
        <f t="shared" ca="1" si="10"/>
        <v/>
      </c>
      <c r="H134" s="128"/>
      <c r="I134" s="355"/>
      <c r="J134" s="355"/>
      <c r="K134" s="355"/>
      <c r="L134" s="355"/>
      <c r="M134" s="355"/>
      <c r="N134" s="355"/>
      <c r="O134" s="355"/>
      <c r="P134" s="355"/>
      <c r="Q134" s="355"/>
      <c r="R134" s="355"/>
      <c r="S134" s="355"/>
      <c r="T134" s="355"/>
      <c r="U134" s="355"/>
      <c r="V134" s="85"/>
      <c r="W134" s="111"/>
      <c r="X134" s="85"/>
      <c r="Y134" s="111"/>
    </row>
    <row r="135" spans="1:25" ht="22.15" customHeight="1" x14ac:dyDescent="0.3">
      <c r="A135" s="143" t="s">
        <v>2512</v>
      </c>
      <c r="B135" s="233" t="b">
        <v>0</v>
      </c>
      <c r="C135" s="151" t="str">
        <f ca="1">VLOOKUP(A135,DB_TBL_DATA_FIELDS[[FIELD_ID]:[PCT_CALC_FIELD_STATUS_CODE]],22,FALSE)</f>
        <v/>
      </c>
      <c r="D135" s="151" t="str">
        <f>IF(VLOOKUP(A135,DB_TBL_DATA_FIELDS[[FIELD_ID]:[ERROR_MESSAGE]],23,FALSE)&lt;&gt;0,VLOOKUP(A135,DB_TBL_DATA_FIELDS[[FIELD_ID]:[ERROR_MESSAGE]],23,FALSE),"")</f>
        <v/>
      </c>
      <c r="E135" s="151">
        <f>VLOOKUP(A135,DB_TBL_DATA_FIELDS[[#All],[FIELD_ID]:[RANGE_VALIDATION_MAX]],18,FALSE)</f>
        <v>0</v>
      </c>
      <c r="F135" s="151">
        <f>VLOOKUP(A135,DB_TBL_DATA_FIELDS[[#All],[FIELD_ID]:[RANGE_VALIDATION_MAX]],19,FALSE)</f>
        <v>0</v>
      </c>
      <c r="G135" s="151" t="str">
        <f t="shared" ca="1" si="10"/>
        <v/>
      </c>
      <c r="H135" s="128"/>
      <c r="I135" s="355" t="s">
        <v>2685</v>
      </c>
      <c r="J135" s="355"/>
      <c r="K135" s="355"/>
      <c r="L135" s="355"/>
      <c r="M135" s="355"/>
      <c r="N135" s="355"/>
      <c r="O135" s="355"/>
      <c r="P135" s="355"/>
      <c r="Q135" s="355"/>
      <c r="R135" s="355"/>
      <c r="S135" s="355"/>
      <c r="T135" s="355"/>
      <c r="U135" s="355"/>
      <c r="V135" s="85"/>
      <c r="W135" s="210"/>
      <c r="X135" s="96">
        <f ca="1">G117</f>
        <v>1</v>
      </c>
      <c r="Y135" s="111"/>
    </row>
    <row r="136" spans="1:25" ht="22.15" customHeight="1" x14ac:dyDescent="0.3">
      <c r="A136" s="143" t="s">
        <v>2761</v>
      </c>
      <c r="B136" s="233" t="b">
        <v>0</v>
      </c>
      <c r="C136" s="151" t="str">
        <f ca="1">VLOOKUP(A136,DB_TBL_DATA_FIELDS[[FIELD_ID]:[PCT_CALC_FIELD_STATUS_CODE]],22,FALSE)</f>
        <v/>
      </c>
      <c r="D136" s="151" t="str">
        <f>IF(VLOOKUP(A136,DB_TBL_DATA_FIELDS[[FIELD_ID]:[ERROR_MESSAGE]],23,FALSE)&lt;&gt;0,VLOOKUP(A136,DB_TBL_DATA_FIELDS[[FIELD_ID]:[ERROR_MESSAGE]],23,FALSE),"")</f>
        <v/>
      </c>
      <c r="E136" s="151">
        <f>VLOOKUP(A136,DB_TBL_DATA_FIELDS[[#All],[FIELD_ID]:[RANGE_VALIDATION_MAX]],18,FALSE)</f>
        <v>0</v>
      </c>
      <c r="F136" s="151">
        <f>VLOOKUP(A136,DB_TBL_DATA_FIELDS[[#All],[FIELD_ID]:[RANGE_VALIDATION_MAX]],19,FALSE)</f>
        <v>0</v>
      </c>
      <c r="G136" s="151" t="str">
        <f t="shared" ref="G136:G138" ca="1" si="11">IF(C136&lt;0,"",C136)</f>
        <v/>
      </c>
      <c r="H136" s="128"/>
      <c r="I136" s="355"/>
      <c r="J136" s="355"/>
      <c r="K136" s="355"/>
      <c r="L136" s="355"/>
      <c r="M136" s="355"/>
      <c r="N136" s="355"/>
      <c r="O136" s="355"/>
      <c r="P136" s="355"/>
      <c r="Q136" s="355"/>
      <c r="R136" s="355"/>
      <c r="S136" s="355"/>
      <c r="T136" s="355"/>
      <c r="U136" s="355"/>
      <c r="V136" s="85"/>
      <c r="W136" s="111"/>
      <c r="X136" s="85"/>
      <c r="Y136" s="111"/>
    </row>
    <row r="137" spans="1:25" ht="22.15" customHeight="1" x14ac:dyDescent="0.3">
      <c r="A137" s="143" t="s">
        <v>2760</v>
      </c>
      <c r="B137" s="233" t="b">
        <v>0</v>
      </c>
      <c r="C137" s="151" t="str">
        <f ca="1">VLOOKUP(A137,DB_TBL_DATA_FIELDS[[FIELD_ID]:[PCT_CALC_FIELD_STATUS_CODE]],22,FALSE)</f>
        <v/>
      </c>
      <c r="D137" s="151" t="str">
        <f>IF(VLOOKUP(A137,DB_TBL_DATA_FIELDS[[FIELD_ID]:[ERROR_MESSAGE]],23,FALSE)&lt;&gt;0,VLOOKUP(A137,DB_TBL_DATA_FIELDS[[FIELD_ID]:[ERROR_MESSAGE]],23,FALSE),"")</f>
        <v/>
      </c>
      <c r="E137" s="151">
        <f>VLOOKUP(A137,DB_TBL_DATA_FIELDS[[#All],[FIELD_ID]:[RANGE_VALIDATION_MAX]],18,FALSE)</f>
        <v>0</v>
      </c>
      <c r="F137" s="151">
        <f>VLOOKUP(A137,DB_TBL_DATA_FIELDS[[#All],[FIELD_ID]:[RANGE_VALIDATION_MAX]],19,FALSE)</f>
        <v>0</v>
      </c>
      <c r="G137" s="151" t="str">
        <f t="shared" ca="1" si="11"/>
        <v/>
      </c>
      <c r="H137" s="128"/>
      <c r="I137" s="355" t="s">
        <v>2686</v>
      </c>
      <c r="J137" s="355"/>
      <c r="K137" s="355"/>
      <c r="L137" s="355"/>
      <c r="M137" s="355"/>
      <c r="N137" s="355"/>
      <c r="O137" s="355"/>
      <c r="P137" s="355"/>
      <c r="Q137" s="355"/>
      <c r="R137" s="355"/>
      <c r="S137" s="355"/>
      <c r="T137" s="355"/>
      <c r="U137" s="355"/>
      <c r="V137" s="85"/>
      <c r="W137" s="210"/>
      <c r="X137" s="96">
        <f ca="1">G118</f>
        <v>1</v>
      </c>
      <c r="Y137" s="111"/>
    </row>
    <row r="138" spans="1:25" ht="22.15" customHeight="1" x14ac:dyDescent="0.3">
      <c r="A138" s="143" t="s">
        <v>2762</v>
      </c>
      <c r="B138" s="233" t="b">
        <v>0</v>
      </c>
      <c r="C138" s="151" t="str">
        <f ca="1">VLOOKUP(A138,DB_TBL_DATA_FIELDS[[FIELD_ID]:[PCT_CALC_FIELD_STATUS_CODE]],22,FALSE)</f>
        <v/>
      </c>
      <c r="D138" s="151" t="str">
        <f>IF(VLOOKUP(A138,DB_TBL_DATA_FIELDS[[FIELD_ID]:[ERROR_MESSAGE]],23,FALSE)&lt;&gt;0,VLOOKUP(A138,DB_TBL_DATA_FIELDS[[FIELD_ID]:[ERROR_MESSAGE]],23,FALSE),"")</f>
        <v/>
      </c>
      <c r="E138" s="151">
        <f>VLOOKUP(A138,DB_TBL_DATA_FIELDS[[#All],[FIELD_ID]:[RANGE_VALIDATION_MAX]],18,FALSE)</f>
        <v>0</v>
      </c>
      <c r="F138" s="151">
        <f>VLOOKUP(A138,DB_TBL_DATA_FIELDS[[#All],[FIELD_ID]:[RANGE_VALIDATION_MAX]],19,FALSE)</f>
        <v>0</v>
      </c>
      <c r="G138" s="151" t="str">
        <f t="shared" ca="1" si="11"/>
        <v/>
      </c>
      <c r="H138" s="128"/>
      <c r="I138" s="355"/>
      <c r="J138" s="355"/>
      <c r="K138" s="355"/>
      <c r="L138" s="355"/>
      <c r="M138" s="355"/>
      <c r="N138" s="355"/>
      <c r="O138" s="355"/>
      <c r="P138" s="355"/>
      <c r="Q138" s="355"/>
      <c r="R138" s="355"/>
      <c r="S138" s="355"/>
      <c r="T138" s="355"/>
      <c r="U138" s="355"/>
      <c r="V138" s="85"/>
      <c r="W138" s="111"/>
      <c r="X138" s="85"/>
      <c r="Y138" s="111"/>
    </row>
    <row r="139" spans="1:25" ht="22.15" customHeight="1" x14ac:dyDescent="0.3">
      <c r="A139" s="143" t="s">
        <v>2806</v>
      </c>
      <c r="B139" s="233" t="b">
        <v>0</v>
      </c>
      <c r="C139" s="151" t="str">
        <f ca="1">VLOOKUP(A139,DB_TBL_DATA_FIELDS[[FIELD_ID]:[PCT_CALC_FIELD_STATUS_CODE]],22,FALSE)</f>
        <v/>
      </c>
      <c r="D139" s="151" t="str">
        <f>IF(VLOOKUP(A139,DB_TBL_DATA_FIELDS[[FIELD_ID]:[ERROR_MESSAGE]],23,FALSE)&lt;&gt;0,VLOOKUP(A139,DB_TBL_DATA_FIELDS[[FIELD_ID]:[ERROR_MESSAGE]],23,FALSE),"")</f>
        <v/>
      </c>
      <c r="E139" s="151">
        <f>VLOOKUP(A139,DB_TBL_DATA_FIELDS[[#All],[FIELD_ID]:[RANGE_VALIDATION_MAX]],18,FALSE)</f>
        <v>0</v>
      </c>
      <c r="F139" s="151">
        <f>VLOOKUP(A139,DB_TBL_DATA_FIELDS[[#All],[FIELD_ID]:[RANGE_VALIDATION_MAX]],19,FALSE)</f>
        <v>0</v>
      </c>
      <c r="G139" s="151" t="str">
        <f t="shared" ref="G139" ca="1" si="12">IF(C139&lt;0,"",C139)</f>
        <v/>
      </c>
      <c r="H139" s="128"/>
      <c r="I139" s="355" t="s">
        <v>2687</v>
      </c>
      <c r="J139" s="355"/>
      <c r="K139" s="355"/>
      <c r="L139" s="355"/>
      <c r="M139" s="355"/>
      <c r="N139" s="355"/>
      <c r="O139" s="355"/>
      <c r="P139" s="355"/>
      <c r="Q139" s="355"/>
      <c r="R139" s="355"/>
      <c r="S139" s="355"/>
      <c r="T139" s="355"/>
      <c r="U139" s="355"/>
      <c r="V139" s="85"/>
      <c r="W139" s="210"/>
      <c r="X139" s="96">
        <f ca="1">G119</f>
        <v>1</v>
      </c>
      <c r="Y139" s="111"/>
    </row>
    <row r="140" spans="1:25" ht="22.15" customHeight="1" x14ac:dyDescent="0.3">
      <c r="A140" s="143" t="s">
        <v>2838</v>
      </c>
      <c r="B140" s="233" t="b">
        <v>0</v>
      </c>
      <c r="C140" s="151" t="str">
        <f ca="1">VLOOKUP(A140,DB_TBL_DATA_FIELDS[[FIELD_ID]:[PCT_CALC_FIELD_STATUS_CODE]],22,FALSE)</f>
        <v/>
      </c>
      <c r="D140" s="151" t="str">
        <f>IF(VLOOKUP(A140,DB_TBL_DATA_FIELDS[[FIELD_ID]:[ERROR_MESSAGE]],23,FALSE)&lt;&gt;0,VLOOKUP(A140,DB_TBL_DATA_FIELDS[[FIELD_ID]:[ERROR_MESSAGE]],23,FALSE),"")</f>
        <v/>
      </c>
      <c r="E140" s="151">
        <f>VLOOKUP(A140,DB_TBL_DATA_FIELDS[[#All],[FIELD_ID]:[RANGE_VALIDATION_MAX]],18,FALSE)</f>
        <v>0</v>
      </c>
      <c r="F140" s="151">
        <f>VLOOKUP(A140,DB_TBL_DATA_FIELDS[[#All],[FIELD_ID]:[RANGE_VALIDATION_MAX]],19,FALSE)</f>
        <v>0</v>
      </c>
      <c r="G140" s="151" t="str">
        <f t="shared" ref="G140:G142" ca="1" si="13">IF(C140&lt;0,"",C140)</f>
        <v/>
      </c>
      <c r="H140" s="128"/>
      <c r="I140" s="355"/>
      <c r="J140" s="355"/>
      <c r="K140" s="355"/>
      <c r="L140" s="355"/>
      <c r="M140" s="355"/>
      <c r="N140" s="355"/>
      <c r="O140" s="355"/>
      <c r="P140" s="355"/>
      <c r="Q140" s="355"/>
      <c r="R140" s="355"/>
      <c r="S140" s="355"/>
      <c r="T140" s="355"/>
      <c r="U140" s="355"/>
      <c r="V140" s="85"/>
      <c r="W140" s="111"/>
      <c r="X140" s="85"/>
      <c r="Y140" s="111"/>
    </row>
    <row r="141" spans="1:25" ht="22.15" customHeight="1" thickBot="1" x14ac:dyDescent="0.35">
      <c r="A141" s="143" t="s">
        <v>2843</v>
      </c>
      <c r="B141" s="233" t="b">
        <v>0</v>
      </c>
      <c r="C141" s="151" t="str">
        <f ca="1">VLOOKUP(A141,DB_TBL_DATA_FIELDS[[FIELD_ID]:[PCT_CALC_FIELD_STATUS_CODE]],22,FALSE)</f>
        <v/>
      </c>
      <c r="D141" s="151" t="str">
        <f>IF(VLOOKUP(A141,DB_TBL_DATA_FIELDS[[FIELD_ID]:[ERROR_MESSAGE]],23,FALSE)&lt;&gt;0,VLOOKUP(A141,DB_TBL_DATA_FIELDS[[FIELD_ID]:[ERROR_MESSAGE]],23,FALSE),"")</f>
        <v/>
      </c>
      <c r="E141" s="151">
        <f>VLOOKUP(A141,DB_TBL_DATA_FIELDS[[#All],[FIELD_ID]:[RANGE_VALIDATION_MAX]],18,FALSE)</f>
        <v>0</v>
      </c>
      <c r="F141" s="151">
        <f>VLOOKUP(A141,DB_TBL_DATA_FIELDS[[#All],[FIELD_ID]:[RANGE_VALIDATION_MAX]],19,FALSE)</f>
        <v>0</v>
      </c>
      <c r="G141" s="151" t="str">
        <f t="shared" ca="1" si="13"/>
        <v/>
      </c>
      <c r="H141" s="128"/>
      <c r="I141" s="129" t="s">
        <v>2688</v>
      </c>
      <c r="J141" s="131"/>
      <c r="K141" s="131"/>
      <c r="L141" s="131"/>
      <c r="M141" s="131"/>
      <c r="N141" s="131"/>
      <c r="O141" s="131"/>
      <c r="P141" s="130"/>
      <c r="Q141" s="132"/>
      <c r="R141" s="130"/>
      <c r="S141" s="132"/>
      <c r="T141" s="130"/>
      <c r="U141" s="132"/>
      <c r="V141" s="130"/>
      <c r="W141" s="132"/>
      <c r="X141" s="85"/>
      <c r="Y141" s="111"/>
    </row>
    <row r="142" spans="1:25" ht="22.15" customHeight="1" thickTop="1" x14ac:dyDescent="0.3">
      <c r="A142" s="143" t="s">
        <v>2839</v>
      </c>
      <c r="B142" s="233" t="b">
        <v>0</v>
      </c>
      <c r="C142" s="151" t="str">
        <f ca="1">VLOOKUP(A142,DB_TBL_DATA_FIELDS[[FIELD_ID]:[PCT_CALC_FIELD_STATUS_CODE]],22,FALSE)</f>
        <v/>
      </c>
      <c r="D142" s="151" t="str">
        <f>IF(VLOOKUP(A142,DB_TBL_DATA_FIELDS[[FIELD_ID]:[ERROR_MESSAGE]],23,FALSE)&lt;&gt;0,VLOOKUP(A142,DB_TBL_DATA_FIELDS[[FIELD_ID]:[ERROR_MESSAGE]],23,FALSE),"")</f>
        <v/>
      </c>
      <c r="E142" s="151">
        <f>VLOOKUP(A142,DB_TBL_DATA_FIELDS[[#All],[FIELD_ID]:[RANGE_VALIDATION_MAX]],18,FALSE)</f>
        <v>0</v>
      </c>
      <c r="F142" s="151">
        <f>VLOOKUP(A142,DB_TBL_DATA_FIELDS[[#All],[FIELD_ID]:[RANGE_VALIDATION_MAX]],19,FALSE)</f>
        <v>0</v>
      </c>
      <c r="G142" s="151" t="str">
        <f t="shared" ca="1" si="13"/>
        <v/>
      </c>
      <c r="H142" s="128"/>
      <c r="I142" s="133"/>
      <c r="J142" s="110"/>
      <c r="K142" s="133"/>
      <c r="L142" s="110"/>
      <c r="M142" s="133"/>
      <c r="N142" s="110"/>
      <c r="O142" s="133"/>
      <c r="P142" s="85"/>
      <c r="Q142" s="111"/>
      <c r="R142" s="85"/>
      <c r="S142" s="111"/>
      <c r="T142" s="85"/>
      <c r="U142" s="111"/>
      <c r="V142" s="85"/>
      <c r="W142" s="111"/>
      <c r="X142" s="85"/>
      <c r="Y142" s="111"/>
    </row>
    <row r="143" spans="1:25" ht="22.15" customHeight="1" x14ac:dyDescent="0.3">
      <c r="A143" s="143" t="s">
        <v>2513</v>
      </c>
      <c r="B143" s="165" t="str">
        <f ca="1">VLOOKUP(A143,'$DB.DATA'!C:G,5,FALSE)</f>
        <v/>
      </c>
      <c r="C143" s="151">
        <f ca="1">VLOOKUP(A143,DB_TBL_DATA_FIELDS[[FIELD_ID]:[PCT_CALC_FIELD_STATUS_CODE]],22,FALSE)</f>
        <v>1</v>
      </c>
      <c r="D143" s="151" t="str">
        <f>IF(VLOOKUP(A143,DB_TBL_DATA_FIELDS[[FIELD_ID]:[ERROR_MESSAGE]],23,FALSE)&lt;&gt;0,VLOOKUP(A143,DB_TBL_DATA_FIELDS[[FIELD_ID]:[ERROR_MESSAGE]],23,FALSE),"")</f>
        <v/>
      </c>
      <c r="E143" s="151">
        <f>VLOOKUP(A143,DB_TBL_DATA_FIELDS[[#All],[FIELD_ID]:[RANGE_VALIDATION_MAX]],18,FALSE)</f>
        <v>0</v>
      </c>
      <c r="F143" s="151">
        <f>VLOOKUP(A143,DB_TBL_DATA_FIELDS[[#All],[FIELD_ID]:[RANGE_VALIDATION_MAX]],19,FALSE)</f>
        <v>0</v>
      </c>
      <c r="G143" s="151">
        <f t="shared" ca="1" si="10"/>
        <v>1</v>
      </c>
      <c r="H143" s="128"/>
      <c r="I143" s="137" t="s">
        <v>2750</v>
      </c>
      <c r="J143" s="110"/>
      <c r="K143" s="133"/>
      <c r="L143" s="110"/>
      <c r="M143" s="133"/>
      <c r="N143" s="110"/>
      <c r="O143" s="133"/>
      <c r="P143" s="85"/>
      <c r="Q143" s="111"/>
      <c r="R143" s="85"/>
      <c r="S143" s="111"/>
      <c r="T143" s="85"/>
      <c r="U143" s="111"/>
      <c r="V143" s="85"/>
      <c r="W143" s="210"/>
      <c r="X143" s="96" t="str">
        <f ca="1">G120</f>
        <v/>
      </c>
      <c r="Y143" s="111"/>
    </row>
    <row r="144" spans="1:25" ht="22.15" customHeight="1" x14ac:dyDescent="0.3">
      <c r="A144" s="143" t="s">
        <v>2521</v>
      </c>
      <c r="B144" s="158" t="str">
        <f>IF(I172="","",I172)</f>
        <v/>
      </c>
      <c r="C144" s="151">
        <f ca="1">VLOOKUP(A144,DB_TBL_DATA_FIELDS[[FIELD_ID]:[PCT_CALC_FIELD_STATUS_CODE]],22,FALSE)</f>
        <v>-1</v>
      </c>
      <c r="D144" s="151" t="str">
        <f>IF(VLOOKUP(A144,DB_TBL_DATA_FIELDS[[FIELD_ID]:[ERROR_MESSAGE]],23,FALSE)&lt;&gt;0,VLOOKUP(A144,DB_TBL_DATA_FIELDS[[FIELD_ID]:[ERROR_MESSAGE]],23,FALSE),"")</f>
        <v/>
      </c>
      <c r="E144" s="151">
        <f>VLOOKUP(A144,DB_TBL_DATA_FIELDS[[#All],[FIELD_ID]:[RANGE_VALIDATION_MAX]],18,FALSE)</f>
        <v>0</v>
      </c>
      <c r="F144" s="151">
        <f>VLOOKUP(A144,DB_TBL_DATA_FIELDS[[#All],[FIELD_ID]:[RANGE_VALIDATION_MAX]],19,FALSE)</f>
        <v>200</v>
      </c>
      <c r="G144" s="151" t="str">
        <f t="shared" ca="1" si="10"/>
        <v/>
      </c>
      <c r="H144" s="128"/>
      <c r="I144" s="137" t="s">
        <v>2751</v>
      </c>
      <c r="J144" s="110"/>
      <c r="K144" s="133"/>
      <c r="L144" s="110"/>
      <c r="M144" s="133"/>
      <c r="N144" s="110"/>
      <c r="O144" s="133"/>
      <c r="P144" s="85"/>
      <c r="Q144" s="111"/>
      <c r="R144" s="85"/>
      <c r="S144" s="111"/>
      <c r="T144" s="85"/>
      <c r="U144" s="111"/>
      <c r="V144" s="85"/>
      <c r="W144" s="210"/>
      <c r="X144" s="96" t="str">
        <f ca="1">G121</f>
        <v/>
      </c>
      <c r="Y144" s="111"/>
    </row>
    <row r="145" spans="1:25" ht="22.15" customHeight="1" x14ac:dyDescent="0.3">
      <c r="A145" s="143" t="s">
        <v>2530</v>
      </c>
      <c r="B145" s="158" t="str">
        <f>IF(S177="","",S177)</f>
        <v/>
      </c>
      <c r="C145" s="151">
        <f ca="1">VLOOKUP(A145,DB_TBL_DATA_FIELDS[[FIELD_ID]:[PCT_CALC_FIELD_STATUS_CODE]],22,FALSE)</f>
        <v>1</v>
      </c>
      <c r="D145" s="151" t="str">
        <f>IF(VLOOKUP(A145,DB_TBL_DATA_FIELDS[[FIELD_ID]:[ERROR_MESSAGE]],23,FALSE)&lt;&gt;0,VLOOKUP(A145,DB_TBL_DATA_FIELDS[[FIELD_ID]:[ERROR_MESSAGE]],23,FALSE),"")</f>
        <v/>
      </c>
      <c r="E145" s="151">
        <f>VLOOKUP(A145,DB_TBL_DATA_FIELDS[[#All],[FIELD_ID]:[RANGE_VALIDATION_MAX]],18,FALSE)</f>
        <v>0</v>
      </c>
      <c r="F145" s="151">
        <f>VLOOKUP(A145,DB_TBL_DATA_FIELDS[[#All],[FIELD_ID]:[RANGE_VALIDATION_MAX]],19,FALSE)</f>
        <v>50</v>
      </c>
      <c r="G145" s="151">
        <f t="shared" ca="1" si="10"/>
        <v>1</v>
      </c>
      <c r="H145" s="128"/>
      <c r="I145" s="133"/>
      <c r="J145" s="110"/>
      <c r="K145" s="133"/>
      <c r="L145" s="110"/>
      <c r="M145" s="133"/>
      <c r="N145" s="110"/>
      <c r="O145" s="133"/>
      <c r="P145" s="85"/>
      <c r="Q145" s="111"/>
      <c r="R145" s="85"/>
      <c r="S145" s="111"/>
      <c r="T145" s="85"/>
      <c r="U145" s="111"/>
      <c r="V145" s="85"/>
      <c r="W145" s="111"/>
      <c r="X145" s="85"/>
      <c r="Y145" s="111"/>
    </row>
    <row r="146" spans="1:25" ht="22.15" customHeight="1" thickBot="1" x14ac:dyDescent="0.35">
      <c r="A146" s="143" t="s">
        <v>2531</v>
      </c>
      <c r="B146" s="165" t="str">
        <f ca="1">VLOOKUP(A146,'$DB.DATA'!C:G,5,FALSE)</f>
        <v/>
      </c>
      <c r="C146" s="151">
        <f ca="1">VLOOKUP(A146,DB_TBL_DATA_FIELDS[[FIELD_ID]:[PCT_CALC_FIELD_STATUS_CODE]],22,FALSE)</f>
        <v>-1</v>
      </c>
      <c r="D146" s="151" t="str">
        <f>IF(VLOOKUP(A146,DB_TBL_DATA_FIELDS[[FIELD_ID]:[ERROR_MESSAGE]],23,FALSE)&lt;&gt;0,VLOOKUP(A146,DB_TBL_DATA_FIELDS[[FIELD_ID]:[ERROR_MESSAGE]],23,FALSE),"")</f>
        <v/>
      </c>
      <c r="E146" s="151">
        <f>VLOOKUP(A146,DB_TBL_DATA_FIELDS[[#All],[FIELD_ID]:[RANGE_VALIDATION_MAX]],18,FALSE)</f>
        <v>0</v>
      </c>
      <c r="F146" s="151">
        <f>VLOOKUP(A146,DB_TBL_DATA_FIELDS[[#All],[FIELD_ID]:[RANGE_VALIDATION_MAX]],19,FALSE)</f>
        <v>1</v>
      </c>
      <c r="G146" s="151" t="str">
        <f t="shared" ca="1" si="10"/>
        <v/>
      </c>
      <c r="H146" s="128"/>
      <c r="I146" s="129" t="s">
        <v>2689</v>
      </c>
      <c r="J146" s="131"/>
      <c r="K146" s="131"/>
      <c r="L146" s="131"/>
      <c r="M146" s="131"/>
      <c r="N146" s="131"/>
      <c r="O146" s="131"/>
      <c r="P146" s="130"/>
      <c r="Q146" s="132"/>
      <c r="R146" s="130"/>
      <c r="S146" s="132"/>
      <c r="T146" s="130"/>
      <c r="U146" s="132"/>
      <c r="V146" s="130"/>
      <c r="W146" s="132"/>
      <c r="X146" s="85"/>
      <c r="Y146" s="111"/>
    </row>
    <row r="147" spans="1:25" ht="22.15" customHeight="1" thickTop="1" x14ac:dyDescent="0.3">
      <c r="A147" s="143" t="s">
        <v>2534</v>
      </c>
      <c r="B147" s="158" t="str">
        <f>IF(I179="","",I179)</f>
        <v/>
      </c>
      <c r="C147" s="151">
        <f ca="1">VLOOKUP(A147,DB_TBL_DATA_FIELDS[[FIELD_ID]:[PCT_CALC_FIELD_STATUS_CODE]],22,FALSE)</f>
        <v>-1</v>
      </c>
      <c r="D147" s="151" t="str">
        <f>IF(VLOOKUP(A147,DB_TBL_DATA_FIELDS[[FIELD_ID]:[ERROR_MESSAGE]],23,FALSE)&lt;&gt;0,VLOOKUP(A147,DB_TBL_DATA_FIELDS[[FIELD_ID]:[ERROR_MESSAGE]],23,FALSE),"")</f>
        <v/>
      </c>
      <c r="E147" s="151">
        <f>VLOOKUP(A147,DB_TBL_DATA_FIELDS[[#All],[FIELD_ID]:[RANGE_VALIDATION_MAX]],18,FALSE)</f>
        <v>0</v>
      </c>
      <c r="F147" s="151">
        <f>VLOOKUP(A147,DB_TBL_DATA_FIELDS[[#All],[FIELD_ID]:[RANGE_VALIDATION_MAX]],19,FALSE)</f>
        <v>200</v>
      </c>
      <c r="G147" s="151" t="str">
        <f t="shared" ca="1" si="10"/>
        <v/>
      </c>
      <c r="H147" s="128"/>
      <c r="I147" s="133"/>
      <c r="J147" s="110"/>
      <c r="K147" s="133"/>
      <c r="L147" s="110"/>
      <c r="M147" s="133"/>
      <c r="N147" s="110"/>
      <c r="O147" s="133"/>
      <c r="P147" s="85"/>
      <c r="Q147" s="111"/>
      <c r="R147" s="85"/>
      <c r="S147" s="111"/>
      <c r="T147" s="85"/>
      <c r="U147" s="111"/>
      <c r="V147" s="85"/>
      <c r="W147" s="111"/>
      <c r="X147" s="85"/>
      <c r="Y147" s="111"/>
    </row>
    <row r="148" spans="1:25" ht="22.15" customHeight="1" x14ac:dyDescent="0.3">
      <c r="A148" s="143" t="s">
        <v>2554</v>
      </c>
      <c r="B148" s="158" t="str">
        <f>IF(I185="","",I185)</f>
        <v/>
      </c>
      <c r="C148" s="151">
        <f ca="1">VLOOKUP(A148,DB_TBL_DATA_FIELDS[[FIELD_ID]:[PCT_CALC_FIELD_STATUS_CODE]],22,FALSE)</f>
        <v>1</v>
      </c>
      <c r="D148" s="151" t="str">
        <f>IF(VLOOKUP(A148,DB_TBL_DATA_FIELDS[[FIELD_ID]:[ERROR_MESSAGE]],23,FALSE)&lt;&gt;0,VLOOKUP(A148,DB_TBL_DATA_FIELDS[[FIELD_ID]:[ERROR_MESSAGE]],23,FALSE),"")</f>
        <v/>
      </c>
      <c r="E148" s="151">
        <f>VLOOKUP(A148,DB_TBL_DATA_FIELDS[[#All],[FIELD_ID]:[RANGE_VALIDATION_MAX]],18,FALSE)</f>
        <v>0</v>
      </c>
      <c r="F148" s="151">
        <f>VLOOKUP(A148,DB_TBL_DATA_FIELDS[[#All],[FIELD_ID]:[RANGE_VALIDATION_MAX]],19,FALSE)</f>
        <v>2000</v>
      </c>
      <c r="G148" s="151">
        <f t="shared" ca="1" si="10"/>
        <v>1</v>
      </c>
      <c r="H148" s="128"/>
      <c r="I148" s="137" t="s">
        <v>2752</v>
      </c>
      <c r="J148" s="110"/>
      <c r="K148" s="133"/>
      <c r="L148" s="110"/>
      <c r="M148" s="133"/>
      <c r="N148" s="110"/>
      <c r="O148" s="133"/>
      <c r="P148" s="85"/>
      <c r="Q148" s="111"/>
      <c r="R148" s="85"/>
      <c r="S148" s="111"/>
      <c r="T148" s="85"/>
      <c r="U148" s="111"/>
      <c r="V148" s="85"/>
      <c r="W148" s="210"/>
      <c r="X148" s="96" t="str">
        <f ca="1">G122</f>
        <v/>
      </c>
      <c r="Y148" s="111"/>
    </row>
    <row r="149" spans="1:25" ht="22.15" customHeight="1" x14ac:dyDescent="0.3">
      <c r="A149" s="143" t="s">
        <v>2807</v>
      </c>
      <c r="B149" s="158" t="str">
        <f>IF(W198="","",IF(UPPER(W198)="YES",TRUE,FALSE))</f>
        <v/>
      </c>
      <c r="C149" s="151">
        <f ca="1">VLOOKUP(A149,DB_TBL_DATA_FIELDS[[FIELD_ID]:[PCT_CALC_FIELD_STATUS_CODE]],22,FALSE)</f>
        <v>1</v>
      </c>
      <c r="D149" s="151" t="str">
        <f>IF(VLOOKUP(A149,DB_TBL_DATA_FIELDS[[FIELD_ID]:[ERROR_MESSAGE]],23,FALSE)&lt;&gt;0,VLOOKUP(A149,DB_TBL_DATA_FIELDS[[FIELD_ID]:[ERROR_MESSAGE]],23,FALSE),"")</f>
        <v/>
      </c>
      <c r="E149" s="151">
        <f>VLOOKUP(A149,DB_TBL_DATA_FIELDS[[#All],[FIELD_ID]:[RANGE_VALIDATION_MAX]],18,FALSE)</f>
        <v>0</v>
      </c>
      <c r="F149" s="151">
        <f>VLOOKUP(A149,DB_TBL_DATA_FIELDS[[#All],[FIELD_ID]:[RANGE_VALIDATION_MAX]],19,FALSE)</f>
        <v>0</v>
      </c>
      <c r="G149" s="151">
        <f t="shared" ref="G149:G153" ca="1" si="14">IF(C149&lt;0,"",C149)</f>
        <v>1</v>
      </c>
      <c r="H149" s="128"/>
      <c r="I149" s="359" t="s">
        <v>2753</v>
      </c>
      <c r="J149" s="359"/>
      <c r="K149" s="359"/>
      <c r="L149" s="359"/>
      <c r="M149" s="359"/>
      <c r="N149" s="359"/>
      <c r="O149" s="359"/>
      <c r="P149" s="359"/>
      <c r="Q149" s="359"/>
      <c r="R149" s="359"/>
      <c r="S149" s="359"/>
      <c r="T149" s="359"/>
      <c r="U149" s="359"/>
      <c r="V149" s="85"/>
      <c r="W149" s="210"/>
      <c r="X149" s="96" t="str">
        <f ca="1">G123</f>
        <v/>
      </c>
      <c r="Y149" s="111"/>
    </row>
    <row r="150" spans="1:25" ht="22.15" customHeight="1" x14ac:dyDescent="0.3">
      <c r="A150" s="143" t="s">
        <v>2811</v>
      </c>
      <c r="B150" s="158" t="str">
        <f>IF(W200="","",IF(UPPER(W200)="YES",TRUE,FALSE))</f>
        <v/>
      </c>
      <c r="C150" s="151">
        <f ca="1">VLOOKUP(A150,DB_TBL_DATA_FIELDS[[FIELD_ID]:[PCT_CALC_FIELD_STATUS_CODE]],22,FALSE)</f>
        <v>1</v>
      </c>
      <c r="D150" s="151" t="str">
        <f>IF(VLOOKUP(A150,DB_TBL_DATA_FIELDS[[FIELD_ID]:[ERROR_MESSAGE]],23,FALSE)&lt;&gt;0,VLOOKUP(A150,DB_TBL_DATA_FIELDS[[FIELD_ID]:[ERROR_MESSAGE]],23,FALSE),"")</f>
        <v/>
      </c>
      <c r="E150" s="151">
        <f>VLOOKUP(A150,DB_TBL_DATA_FIELDS[[#All],[FIELD_ID]:[RANGE_VALIDATION_MAX]],18,FALSE)</f>
        <v>0</v>
      </c>
      <c r="F150" s="151">
        <f>VLOOKUP(A150,DB_TBL_DATA_FIELDS[[#All],[FIELD_ID]:[RANGE_VALIDATION_MAX]],19,FALSE)</f>
        <v>0</v>
      </c>
      <c r="G150" s="151">
        <f t="shared" ca="1" si="14"/>
        <v>1</v>
      </c>
      <c r="H150" s="128"/>
      <c r="I150" s="359"/>
      <c r="J150" s="359"/>
      <c r="K150" s="359"/>
      <c r="L150" s="359"/>
      <c r="M150" s="359"/>
      <c r="N150" s="359"/>
      <c r="O150" s="359"/>
      <c r="P150" s="359"/>
      <c r="Q150" s="359"/>
      <c r="R150" s="359"/>
      <c r="S150" s="359"/>
      <c r="T150" s="359"/>
      <c r="U150" s="359"/>
      <c r="V150" s="85"/>
      <c r="W150" s="111"/>
      <c r="X150" s="85"/>
      <c r="Y150" s="111"/>
    </row>
    <row r="151" spans="1:25" ht="22.15" customHeight="1" thickBot="1" x14ac:dyDescent="0.35">
      <c r="A151" s="143" t="s">
        <v>2808</v>
      </c>
      <c r="B151" s="158" t="str">
        <f>IF(W202="","",IF(UPPER(W202)="YES",TRUE,FALSE))</f>
        <v/>
      </c>
      <c r="C151" s="151">
        <f ca="1">VLOOKUP(A151,DB_TBL_DATA_FIELDS[[FIELD_ID]:[PCT_CALC_FIELD_STATUS_CODE]],22,FALSE)</f>
        <v>1</v>
      </c>
      <c r="D151" s="151" t="str">
        <f>IF(VLOOKUP(A151,DB_TBL_DATA_FIELDS[[FIELD_ID]:[ERROR_MESSAGE]],23,FALSE)&lt;&gt;0,VLOOKUP(A151,DB_TBL_DATA_FIELDS[[FIELD_ID]:[ERROR_MESSAGE]],23,FALSE),"")</f>
        <v/>
      </c>
      <c r="E151" s="151">
        <f>VLOOKUP(A151,DB_TBL_DATA_FIELDS[[#All],[FIELD_ID]:[RANGE_VALIDATION_MAX]],18,FALSE)</f>
        <v>0</v>
      </c>
      <c r="F151" s="151">
        <f>VLOOKUP(A151,DB_TBL_DATA_FIELDS[[#All],[FIELD_ID]:[RANGE_VALIDATION_MAX]],19,FALSE)</f>
        <v>0</v>
      </c>
      <c r="G151" s="151">
        <f t="shared" ca="1" si="14"/>
        <v>1</v>
      </c>
      <c r="H151" s="128"/>
      <c r="I151" s="129" t="s">
        <v>2690</v>
      </c>
      <c r="J151" s="131"/>
      <c r="K151" s="131"/>
      <c r="L151" s="131"/>
      <c r="M151" s="131"/>
      <c r="N151" s="131"/>
      <c r="O151" s="131"/>
      <c r="P151" s="130"/>
      <c r="Q151" s="132"/>
      <c r="R151" s="130"/>
      <c r="S151" s="132"/>
      <c r="T151" s="130"/>
      <c r="U151" s="132"/>
      <c r="V151" s="130"/>
      <c r="W151" s="132"/>
      <c r="X151" s="85"/>
      <c r="Y151" s="111"/>
    </row>
    <row r="152" spans="1:25" ht="22.15" customHeight="1" thickTop="1" x14ac:dyDescent="0.3">
      <c r="A152" s="143" t="s">
        <v>2809</v>
      </c>
      <c r="B152" s="158" t="str">
        <f>IF(W204="","",IF(UPPER(W204)="YES",TRUE,FALSE))</f>
        <v/>
      </c>
      <c r="C152" s="151">
        <f ca="1">VLOOKUP(A152,DB_TBL_DATA_FIELDS[[FIELD_ID]:[PCT_CALC_FIELD_STATUS_CODE]],22,FALSE)</f>
        <v>-1</v>
      </c>
      <c r="D152" s="151" t="str">
        <f>IF(VLOOKUP(A152,DB_TBL_DATA_FIELDS[[FIELD_ID]:[ERROR_MESSAGE]],23,FALSE)&lt;&gt;0,VLOOKUP(A152,DB_TBL_DATA_FIELDS[[FIELD_ID]:[ERROR_MESSAGE]],23,FALSE),"")</f>
        <v/>
      </c>
      <c r="E152" s="151">
        <f>VLOOKUP(A152,DB_TBL_DATA_FIELDS[[#All],[FIELD_ID]:[RANGE_VALIDATION_MAX]],18,FALSE)</f>
        <v>0</v>
      </c>
      <c r="F152" s="151">
        <f>VLOOKUP(A152,DB_TBL_DATA_FIELDS[[#All],[FIELD_ID]:[RANGE_VALIDATION_MAX]],19,FALSE)</f>
        <v>0</v>
      </c>
      <c r="G152" s="151" t="str">
        <f t="shared" ca="1" si="14"/>
        <v/>
      </c>
      <c r="H152" s="128"/>
      <c r="I152" s="133"/>
      <c r="J152" s="110"/>
      <c r="K152" s="133"/>
      <c r="L152" s="110"/>
      <c r="M152" s="133"/>
      <c r="N152" s="110"/>
      <c r="O152" s="133"/>
      <c r="P152" s="85"/>
      <c r="Q152" s="111"/>
      <c r="R152" s="85"/>
      <c r="S152" s="111"/>
      <c r="T152" s="85"/>
      <c r="U152" s="111"/>
      <c r="V152" s="85"/>
      <c r="W152" s="111"/>
      <c r="X152" s="85"/>
      <c r="Y152" s="111"/>
    </row>
    <row r="153" spans="1:25" ht="22.15" customHeight="1" x14ac:dyDescent="0.3">
      <c r="A153" s="143" t="s">
        <v>2810</v>
      </c>
      <c r="B153" s="158" t="str">
        <f>IF(I208="","",I208)</f>
        <v/>
      </c>
      <c r="C153" s="151">
        <f ca="1">VLOOKUP(A153,DB_TBL_DATA_FIELDS[[FIELD_ID]:[PCT_CALC_FIELD_STATUS_CODE]],22,FALSE)</f>
        <v>-1</v>
      </c>
      <c r="D153" s="151" t="str">
        <f>IF(VLOOKUP(A153,DB_TBL_DATA_FIELDS[[FIELD_ID]:[ERROR_MESSAGE]],23,FALSE)&lt;&gt;0,VLOOKUP(A153,DB_TBL_DATA_FIELDS[[FIELD_ID]:[ERROR_MESSAGE]],23,FALSE),"")</f>
        <v/>
      </c>
      <c r="E153" s="151">
        <f>VLOOKUP(A153,DB_TBL_DATA_FIELDS[[#All],[FIELD_ID]:[RANGE_VALIDATION_MAX]],18,FALSE)</f>
        <v>0</v>
      </c>
      <c r="F153" s="151">
        <f>VLOOKUP(A153,DB_TBL_DATA_FIELDS[[#All],[FIELD_ID]:[RANGE_VALIDATION_MAX]],19,FALSE)</f>
        <v>1000</v>
      </c>
      <c r="G153" s="151" t="str">
        <f t="shared" ca="1" si="14"/>
        <v/>
      </c>
      <c r="H153" s="128"/>
      <c r="I153" s="137" t="s">
        <v>2754</v>
      </c>
      <c r="J153" s="110"/>
      <c r="K153" s="133"/>
      <c r="L153" s="110"/>
      <c r="M153" s="133"/>
      <c r="N153" s="110"/>
      <c r="O153" s="133"/>
      <c r="P153" s="85"/>
      <c r="Q153" s="111"/>
      <c r="R153" s="85"/>
      <c r="S153" s="111"/>
      <c r="T153" s="85"/>
      <c r="U153" s="111"/>
      <c r="V153" s="85"/>
      <c r="W153" s="210"/>
      <c r="X153" s="96" t="str">
        <f ca="1">G124</f>
        <v/>
      </c>
      <c r="Y153" s="111"/>
    </row>
    <row r="154" spans="1:25" ht="22.15" customHeight="1" x14ac:dyDescent="0.3">
      <c r="A154" s="160" t="s">
        <v>201</v>
      </c>
      <c r="B154" s="152" t="str">
        <f>"C"&amp;MATCH(LEFT(A154,LEN(A154)-LEN("_RANGE")),A:A,0)+1&amp;":C"&amp;(ROW()-1)</f>
        <v>C110:C153</v>
      </c>
      <c r="C154" s="151"/>
      <c r="D154" s="151"/>
      <c r="E154" s="151"/>
      <c r="F154" s="151"/>
      <c r="G154" s="151"/>
      <c r="H154" s="128"/>
      <c r="I154" s="359" t="s">
        <v>2755</v>
      </c>
      <c r="J154" s="359"/>
      <c r="K154" s="359"/>
      <c r="L154" s="359"/>
      <c r="M154" s="359"/>
      <c r="N154" s="359"/>
      <c r="O154" s="359"/>
      <c r="P154" s="359"/>
      <c r="Q154" s="359"/>
      <c r="R154" s="359"/>
      <c r="S154" s="359"/>
      <c r="T154" s="359"/>
      <c r="U154" s="359"/>
      <c r="V154" s="85"/>
      <c r="W154" s="210"/>
      <c r="X154" s="96" t="str">
        <f ca="1">G125</f>
        <v/>
      </c>
      <c r="Y154" s="111"/>
    </row>
    <row r="155" spans="1:25" ht="22.15" customHeight="1" x14ac:dyDescent="0.3">
      <c r="A155" s="160" t="s">
        <v>202</v>
      </c>
      <c r="B155" s="152">
        <f ca="1">COUNTIF(INDIRECT($B154),2)</f>
        <v>0</v>
      </c>
      <c r="C155" s="151"/>
      <c r="D155" s="151"/>
      <c r="E155" s="151"/>
      <c r="F155" s="151"/>
      <c r="G155" s="151"/>
      <c r="H155" s="128"/>
      <c r="I155" s="359"/>
      <c r="J155" s="359"/>
      <c r="K155" s="359"/>
      <c r="L155" s="359"/>
      <c r="M155" s="359"/>
      <c r="N155" s="359"/>
      <c r="O155" s="359"/>
      <c r="P155" s="359"/>
      <c r="Q155" s="359"/>
      <c r="R155" s="359"/>
      <c r="S155" s="359"/>
      <c r="T155" s="359"/>
      <c r="U155" s="359"/>
      <c r="V155" s="85"/>
      <c r="W155" s="111"/>
      <c r="X155" s="85"/>
      <c r="Y155" s="111"/>
    </row>
    <row r="156" spans="1:25" ht="22.15" customHeight="1" thickBot="1" x14ac:dyDescent="0.35">
      <c r="A156" s="160" t="s">
        <v>203</v>
      </c>
      <c r="B156" s="152">
        <f ca="1">COUNTIF(INDIRECT($B154),0)+COUNTIF(INDIRECT($B154),1)+COUNTIF(INDIRECT($B154),2)</f>
        <v>13</v>
      </c>
      <c r="C156" s="151"/>
      <c r="D156" s="151"/>
      <c r="E156" s="151"/>
      <c r="F156" s="151"/>
      <c r="G156" s="151"/>
      <c r="H156" s="128"/>
      <c r="I156" s="129" t="s">
        <v>2691</v>
      </c>
      <c r="J156" s="131"/>
      <c r="K156" s="131"/>
      <c r="L156" s="131"/>
      <c r="M156" s="131"/>
      <c r="N156" s="131"/>
      <c r="O156" s="131"/>
      <c r="P156" s="130"/>
      <c r="Q156" s="132"/>
      <c r="R156" s="130"/>
      <c r="S156" s="132"/>
      <c r="T156" s="130"/>
      <c r="U156" s="132"/>
      <c r="V156" s="130"/>
      <c r="W156" s="132"/>
      <c r="X156" s="85"/>
      <c r="Y156" s="111"/>
    </row>
    <row r="157" spans="1:25" ht="22.15" customHeight="1" thickTop="1" x14ac:dyDescent="0.3">
      <c r="A157" s="160" t="s">
        <v>204</v>
      </c>
      <c r="B157" s="152">
        <f ca="1">COUNTIF(INDIRECT($B154),0)</f>
        <v>0</v>
      </c>
      <c r="C157" s="151" t="s">
        <v>2300</v>
      </c>
      <c r="D157" s="151"/>
      <c r="E157" s="151"/>
      <c r="F157" s="151"/>
      <c r="G157" s="151"/>
      <c r="H157" s="128"/>
      <c r="I157" s="133"/>
      <c r="J157" s="110"/>
      <c r="K157" s="133"/>
      <c r="L157" s="110"/>
      <c r="M157" s="133"/>
      <c r="N157" s="110"/>
      <c r="O157" s="133"/>
      <c r="P157" s="85"/>
      <c r="Q157" s="111"/>
      <c r="R157" s="85"/>
      <c r="S157" s="111"/>
      <c r="T157" s="85"/>
      <c r="U157" s="111"/>
      <c r="V157" s="85"/>
      <c r="W157" s="111"/>
      <c r="X157" s="85"/>
      <c r="Y157" s="111"/>
    </row>
    <row r="158" spans="1:25" ht="22.15" customHeight="1" x14ac:dyDescent="0.3">
      <c r="A158" s="160" t="s">
        <v>205</v>
      </c>
      <c r="B158" s="161">
        <f ca="1">IFERROR(B155/B156,1.01)</f>
        <v>0</v>
      </c>
      <c r="C158" s="151"/>
      <c r="D158" s="151"/>
      <c r="E158" s="151"/>
      <c r="F158" s="151"/>
      <c r="G158" s="151"/>
      <c r="H158" s="128"/>
      <c r="I158" s="137" t="s">
        <v>2756</v>
      </c>
      <c r="J158" s="110"/>
      <c r="K158" s="133"/>
      <c r="L158" s="110"/>
      <c r="M158" s="133"/>
      <c r="N158" s="110"/>
      <c r="O158" s="133"/>
      <c r="P158" s="85"/>
      <c r="Q158" s="111"/>
      <c r="R158" s="85"/>
      <c r="S158" s="111"/>
      <c r="T158" s="85"/>
      <c r="U158" s="111"/>
      <c r="V158" s="85"/>
      <c r="W158" s="210"/>
      <c r="X158" s="96" t="str">
        <f ca="1">G126</f>
        <v/>
      </c>
      <c r="Y158" s="111"/>
    </row>
    <row r="159" spans="1:25" ht="22.15" customHeight="1" x14ac:dyDescent="0.3">
      <c r="A159" s="160" t="s">
        <v>206</v>
      </c>
      <c r="B159" s="162" t="str">
        <f ca="1">IF(B157&gt;0,"Data Error(s)",IF(B158=0,"Not Started",IF(B158&lt;1,ROUNDUP(B158*100,0)&amp;"% Done",IF(B158&gt;1,"Optional","Complete"))))</f>
        <v>Not Started</v>
      </c>
      <c r="C159" s="151"/>
      <c r="D159" s="151"/>
      <c r="E159" s="151"/>
      <c r="F159" s="151"/>
      <c r="G159" s="151"/>
      <c r="H159" s="128"/>
      <c r="I159" s="359" t="s">
        <v>2757</v>
      </c>
      <c r="J159" s="359"/>
      <c r="K159" s="359"/>
      <c r="L159" s="359"/>
      <c r="M159" s="359"/>
      <c r="N159" s="359"/>
      <c r="O159" s="359"/>
      <c r="P159" s="359"/>
      <c r="Q159" s="359"/>
      <c r="R159" s="359"/>
      <c r="S159" s="359"/>
      <c r="T159" s="359"/>
      <c r="U159" s="359"/>
      <c r="V159" s="85"/>
      <c r="W159" s="210"/>
      <c r="X159" s="96" t="str">
        <f ca="1">G127</f>
        <v/>
      </c>
      <c r="Y159" s="111"/>
    </row>
    <row r="160" spans="1:25" ht="22.15" customHeight="1" x14ac:dyDescent="0.3">
      <c r="A160" s="160" t="s">
        <v>207</v>
      </c>
      <c r="B160" s="152" t="str">
        <f ca="1">IF(B157&gt;0,0,IF(B158&lt;1,"",2))</f>
        <v/>
      </c>
      <c r="C160" s="151"/>
      <c r="D160" s="151"/>
      <c r="E160" s="151"/>
      <c r="F160" s="151"/>
      <c r="G160" s="151"/>
      <c r="H160" s="128"/>
      <c r="I160" s="359"/>
      <c r="J160" s="359"/>
      <c r="K160" s="359"/>
      <c r="L160" s="359"/>
      <c r="M160" s="359"/>
      <c r="N160" s="359"/>
      <c r="O160" s="359"/>
      <c r="P160" s="359"/>
      <c r="Q160" s="359"/>
      <c r="R160" s="359"/>
      <c r="S160" s="359"/>
      <c r="T160" s="359"/>
      <c r="U160" s="359"/>
      <c r="V160" s="85"/>
      <c r="W160" s="111"/>
      <c r="X160" s="85"/>
      <c r="Y160" s="111"/>
    </row>
    <row r="161" spans="1:25" ht="22.15" customHeight="1" thickBot="1" x14ac:dyDescent="0.35">
      <c r="A161" s="160" t="s">
        <v>208</v>
      </c>
      <c r="B161" s="163" t="s">
        <v>2665</v>
      </c>
      <c r="C161" s="151"/>
      <c r="D161" s="151"/>
      <c r="E161" s="151"/>
      <c r="F161" s="151"/>
      <c r="G161" s="151"/>
      <c r="H161" s="128"/>
      <c r="I161" s="129" t="s">
        <v>2692</v>
      </c>
      <c r="J161" s="131"/>
      <c r="K161" s="131"/>
      <c r="L161" s="131"/>
      <c r="M161" s="131"/>
      <c r="N161" s="131"/>
      <c r="O161" s="131"/>
      <c r="P161" s="130"/>
      <c r="Q161" s="132"/>
      <c r="R161" s="130"/>
      <c r="S161" s="132"/>
      <c r="T161" s="130"/>
      <c r="U161" s="132"/>
      <c r="V161" s="130"/>
      <c r="W161" s="132"/>
      <c r="X161" s="85"/>
      <c r="Y161" s="111"/>
    </row>
    <row r="162" spans="1:25" ht="22.15" customHeight="1" thickTop="1" x14ac:dyDescent="0.3">
      <c r="A162" s="164" t="s">
        <v>2215</v>
      </c>
      <c r="B162" s="152">
        <v>0</v>
      </c>
      <c r="C162" s="151" t="s">
        <v>2284</v>
      </c>
      <c r="D162" s="151"/>
      <c r="E162" s="151"/>
      <c r="F162" s="151"/>
      <c r="G162" s="151"/>
      <c r="H162" s="128"/>
      <c r="I162" s="133"/>
      <c r="J162" s="110"/>
      <c r="K162" s="133"/>
      <c r="L162" s="110"/>
      <c r="M162" s="133"/>
      <c r="N162" s="110"/>
      <c r="O162" s="133"/>
      <c r="P162" s="85"/>
      <c r="Q162" s="111"/>
      <c r="R162" s="85"/>
      <c r="S162" s="111"/>
      <c r="T162" s="85"/>
      <c r="U162" s="111"/>
      <c r="V162" s="85"/>
      <c r="W162" s="111"/>
      <c r="X162" s="85"/>
      <c r="Y162" s="111"/>
    </row>
    <row r="163" spans="1:25" ht="22.15" customHeight="1" x14ac:dyDescent="0.3">
      <c r="A163" s="164" t="s">
        <v>2216</v>
      </c>
      <c r="B163" s="152" t="b">
        <f>(B162&gt;0)</f>
        <v>0</v>
      </c>
      <c r="C163" s="151"/>
      <c r="D163" s="151"/>
      <c r="E163" s="151"/>
      <c r="F163" s="151"/>
      <c r="G163" s="151"/>
      <c r="H163" s="128"/>
      <c r="I163" s="137" t="s">
        <v>2758</v>
      </c>
      <c r="J163" s="110"/>
      <c r="K163" s="133"/>
      <c r="L163" s="110"/>
      <c r="M163" s="133"/>
      <c r="N163" s="110"/>
      <c r="O163" s="133"/>
      <c r="P163" s="85"/>
      <c r="Q163" s="111"/>
      <c r="R163" s="85"/>
      <c r="S163" s="111"/>
      <c r="T163" s="85"/>
      <c r="U163" s="111"/>
      <c r="V163" s="85"/>
      <c r="W163" s="210"/>
      <c r="X163" s="96" t="str">
        <f ca="1">G128</f>
        <v/>
      </c>
      <c r="Y163" s="111"/>
    </row>
    <row r="164" spans="1:25" ht="22.15" customHeight="1" x14ac:dyDescent="0.3">
      <c r="A164" s="155" t="s">
        <v>225</v>
      </c>
      <c r="B164" s="170" t="s">
        <v>2664</v>
      </c>
      <c r="C164" s="157"/>
      <c r="D164" s="157"/>
      <c r="E164" s="157"/>
      <c r="F164" s="157"/>
      <c r="G164" s="104" t="s">
        <v>2664</v>
      </c>
      <c r="H164" s="128"/>
      <c r="I164" s="136" t="s">
        <v>2759</v>
      </c>
      <c r="J164" s="225"/>
      <c r="K164" s="225"/>
      <c r="L164" s="225"/>
      <c r="M164" s="225"/>
      <c r="N164" s="225"/>
      <c r="O164" s="225"/>
      <c r="P164" s="225"/>
      <c r="Q164" s="225"/>
      <c r="R164" s="225"/>
      <c r="S164" s="225"/>
      <c r="T164" s="225"/>
      <c r="U164" s="225"/>
      <c r="V164" s="85"/>
      <c r="W164" s="210"/>
      <c r="X164" s="96" t="str">
        <f ca="1">G129</f>
        <v/>
      </c>
      <c r="Y164" s="111"/>
    </row>
    <row r="165" spans="1:25" ht="22.15" customHeight="1" x14ac:dyDescent="0.3">
      <c r="A165" s="143" t="s">
        <v>2556</v>
      </c>
      <c r="B165" s="158" t="str">
        <f>IF(W219="","",IF(UPPER(W219)="YES",TRUE,FALSE))</f>
        <v/>
      </c>
      <c r="C165" s="151">
        <f ca="1">VLOOKUP(A165,DB_TBL_DATA_FIELDS[[FIELD_ID]:[PCT_CALC_FIELD_STATUS_CODE]],22,FALSE)</f>
        <v>1</v>
      </c>
      <c r="D165" s="151" t="str">
        <f>IF(VLOOKUP(A165,DB_TBL_DATA_FIELDS[[FIELD_ID]:[ERROR_MESSAGE]],23,FALSE)&lt;&gt;0,VLOOKUP(A165,DB_TBL_DATA_FIELDS[[FIELD_ID]:[ERROR_MESSAGE]],23,FALSE),"")</f>
        <v/>
      </c>
      <c r="E165" s="151">
        <f>VLOOKUP(A165,DB_TBL_DATA_FIELDS[[#All],[FIELD_ID]:[RANGE_VALIDATION_MAX]],18,FALSE)</f>
        <v>0</v>
      </c>
      <c r="F165" s="151">
        <f>VLOOKUP(A165,DB_TBL_DATA_FIELDS[[#All],[FIELD_ID]:[RANGE_VALIDATION_MAX]],19,FALSE)</f>
        <v>0</v>
      </c>
      <c r="G165" s="151">
        <f ca="1">IF(C165&lt;0,"",C165)</f>
        <v>1</v>
      </c>
      <c r="H165" s="128"/>
      <c r="Y165" s="111"/>
    </row>
    <row r="166" spans="1:25" ht="22.15" customHeight="1" thickBot="1" x14ac:dyDescent="0.35">
      <c r="A166" s="143" t="s">
        <v>2560</v>
      </c>
      <c r="B166" s="158" t="str">
        <f>IF(I223="","",I223)</f>
        <v/>
      </c>
      <c r="C166" s="151">
        <f ca="1">VLOOKUP(A166,DB_TBL_DATA_FIELDS[[FIELD_ID]:[PCT_CALC_FIELD_STATUS_CODE]],22,FALSE)</f>
        <v>1</v>
      </c>
      <c r="D166" s="151" t="str">
        <f>IF(VLOOKUP(A166,DB_TBL_DATA_FIELDS[[FIELD_ID]:[ERROR_MESSAGE]],23,FALSE)&lt;&gt;0,VLOOKUP(A166,DB_TBL_DATA_FIELDS[[FIELD_ID]:[ERROR_MESSAGE]],23,FALSE),"")</f>
        <v/>
      </c>
      <c r="E166" s="151">
        <f>VLOOKUP(A166,DB_TBL_DATA_FIELDS[[#All],[FIELD_ID]:[RANGE_VALIDATION_MAX]],18,FALSE)</f>
        <v>0</v>
      </c>
      <c r="F166" s="151">
        <f>VLOOKUP(A166,DB_TBL_DATA_FIELDS[[#All],[FIELD_ID]:[RANGE_VALIDATION_MAX]],19,FALSE)</f>
        <v>1000</v>
      </c>
      <c r="G166" s="151">
        <f t="shared" ref="G166:G193" ca="1" si="15">IF(C166&lt;0,"",C166)</f>
        <v>1</v>
      </c>
      <c r="H166" s="128"/>
      <c r="I166" s="226" t="s">
        <v>2694</v>
      </c>
      <c r="J166" s="229"/>
      <c r="K166" s="229"/>
      <c r="L166" s="229"/>
      <c r="M166" s="229"/>
      <c r="N166" s="229"/>
      <c r="O166" s="229"/>
      <c r="P166" s="230"/>
      <c r="Q166" s="231"/>
      <c r="R166" s="230"/>
      <c r="S166" s="231"/>
      <c r="T166" s="230"/>
      <c r="U166" s="231"/>
      <c r="V166" s="230"/>
      <c r="W166" s="231"/>
      <c r="X166" s="96">
        <f ca="1">G143</f>
        <v>1</v>
      </c>
      <c r="Y166" s="111"/>
    </row>
    <row r="167" spans="1:25" ht="22.15" customHeight="1" x14ac:dyDescent="0.3">
      <c r="A167" s="143" t="s">
        <v>2563</v>
      </c>
      <c r="B167" s="233" t="b">
        <v>0</v>
      </c>
      <c r="C167" s="151" t="str">
        <f ca="1">VLOOKUP(A167,DB_TBL_DATA_FIELDS[[FIELD_ID]:[PCT_CALC_FIELD_STATUS_CODE]],22,FALSE)</f>
        <v/>
      </c>
      <c r="D167" s="151" t="str">
        <f>IF(VLOOKUP(A167,DB_TBL_DATA_FIELDS[[FIELD_ID]:[ERROR_MESSAGE]],23,FALSE)&lt;&gt;0,VLOOKUP(A167,DB_TBL_DATA_FIELDS[[FIELD_ID]:[ERROR_MESSAGE]],23,FALSE),"")</f>
        <v/>
      </c>
      <c r="E167" s="151">
        <f>VLOOKUP(A167,DB_TBL_DATA_FIELDS[[#All],[FIELD_ID]:[RANGE_VALIDATION_MAX]],18,FALSE)</f>
        <v>0</v>
      </c>
      <c r="F167" s="151">
        <f>VLOOKUP(A167,DB_TBL_DATA_FIELDS[[#All],[FIELD_ID]:[RANGE_VALIDATION_MAX]],19,FALSE)</f>
        <v>0</v>
      </c>
      <c r="G167" s="151" t="str">
        <f t="shared" ca="1" si="15"/>
        <v/>
      </c>
      <c r="H167" s="128"/>
      <c r="I167" s="133"/>
      <c r="J167" s="110"/>
      <c r="K167" s="133"/>
      <c r="L167" s="110"/>
      <c r="M167" s="133"/>
      <c r="N167" s="110"/>
      <c r="O167" s="133"/>
      <c r="P167" s="85"/>
      <c r="Q167" s="111"/>
      <c r="R167" s="85"/>
      <c r="S167" s="111"/>
      <c r="T167" s="85"/>
      <c r="U167" s="111"/>
      <c r="V167" s="85"/>
      <c r="W167" s="111"/>
      <c r="X167" s="85"/>
      <c r="Y167" s="111"/>
    </row>
    <row r="168" spans="1:25" ht="22.15" customHeight="1" x14ac:dyDescent="0.3">
      <c r="A168" s="143" t="s">
        <v>2636</v>
      </c>
      <c r="B168" s="158" t="str">
        <f>IF(U232="","",U232)</f>
        <v/>
      </c>
      <c r="C168" s="151">
        <f ca="1">VLOOKUP(A168,DB_TBL_DATA_FIELDS[[FIELD_ID]:[PCT_CALC_FIELD_STATUS_CODE]],22,FALSE)</f>
        <v>-1</v>
      </c>
      <c r="D168" s="151" t="str">
        <f>IF(VLOOKUP(A168,DB_TBL_DATA_FIELDS[[FIELD_ID]:[ERROR_MESSAGE]],23,FALSE)&lt;&gt;0,VLOOKUP(A168,DB_TBL_DATA_FIELDS[[FIELD_ID]:[ERROR_MESSAGE]],23,FALSE),"")</f>
        <v/>
      </c>
      <c r="E168" s="151">
        <f>VLOOKUP(A168,DB_TBL_DATA_FIELDS[[#All],[FIELD_ID]:[RANGE_VALIDATION_MAX]],18,FALSE)</f>
        <v>0</v>
      </c>
      <c r="F168" s="151">
        <f>VLOOKUP(A168,DB_TBL_DATA_FIELDS[[#All],[FIELD_ID]:[RANGE_VALIDATION_MAX]],19,FALSE)</f>
        <v>999999999999</v>
      </c>
      <c r="G168" s="151" t="str">
        <f t="shared" ca="1" si="15"/>
        <v/>
      </c>
      <c r="H168" s="128"/>
      <c r="I168" s="133"/>
      <c r="J168" s="110"/>
      <c r="K168" s="133"/>
      <c r="L168" s="110"/>
      <c r="M168" s="133"/>
      <c r="N168" s="110"/>
      <c r="O168" s="133"/>
      <c r="P168" s="85"/>
      <c r="Q168" s="111"/>
      <c r="R168" s="85"/>
      <c r="S168" s="111"/>
      <c r="T168" s="85"/>
      <c r="U168" s="111"/>
      <c r="V168" s="85"/>
      <c r="W168" s="111"/>
      <c r="X168" s="85"/>
      <c r="Y168" s="111"/>
    </row>
    <row r="169" spans="1:25" ht="22.15" customHeight="1" x14ac:dyDescent="0.3">
      <c r="A169" s="143" t="s">
        <v>2564</v>
      </c>
      <c r="B169" s="233" t="b">
        <v>0</v>
      </c>
      <c r="C169" s="151" t="str">
        <f ca="1">VLOOKUP(A169,DB_TBL_DATA_FIELDS[[FIELD_ID]:[PCT_CALC_FIELD_STATUS_CODE]],22,FALSE)</f>
        <v/>
      </c>
      <c r="D169" s="151" t="str">
        <f>IF(VLOOKUP(A169,DB_TBL_DATA_FIELDS[[FIELD_ID]:[ERROR_MESSAGE]],23,FALSE)&lt;&gt;0,VLOOKUP(A169,DB_TBL_DATA_FIELDS[[FIELD_ID]:[ERROR_MESSAGE]],23,FALSE),"")</f>
        <v/>
      </c>
      <c r="E169" s="151">
        <f>VLOOKUP(A169,DB_TBL_DATA_FIELDS[[#All],[FIELD_ID]:[RANGE_VALIDATION_MAX]],18,FALSE)</f>
        <v>0</v>
      </c>
      <c r="F169" s="151">
        <f>VLOOKUP(A169,DB_TBL_DATA_FIELDS[[#All],[FIELD_ID]:[RANGE_VALIDATION_MAX]],19,FALSE)</f>
        <v>0</v>
      </c>
      <c r="G169" s="151" t="str">
        <f t="shared" ca="1" si="15"/>
        <v/>
      </c>
      <c r="H169" s="128"/>
      <c r="I169" s="133"/>
      <c r="J169" s="110"/>
      <c r="K169" s="133"/>
      <c r="L169" s="110"/>
      <c r="M169" s="133"/>
      <c r="N169" s="110"/>
      <c r="O169" s="133"/>
      <c r="P169" s="320"/>
      <c r="Q169" s="111"/>
      <c r="R169" s="320"/>
      <c r="S169" s="111"/>
      <c r="T169" s="320"/>
      <c r="U169" s="111"/>
      <c r="V169" s="320"/>
      <c r="W169" s="111"/>
      <c r="X169" s="320"/>
      <c r="Y169" s="111"/>
    </row>
    <row r="170" spans="1:25" ht="22.15" customHeight="1" x14ac:dyDescent="0.3">
      <c r="A170" s="143" t="s">
        <v>2637</v>
      </c>
      <c r="B170" s="158" t="str">
        <f>IF(U233="","",U233)</f>
        <v/>
      </c>
      <c r="C170" s="151">
        <f ca="1">VLOOKUP(A170,DB_TBL_DATA_FIELDS[[FIELD_ID]:[PCT_CALC_FIELD_STATUS_CODE]],22,FALSE)</f>
        <v>-1</v>
      </c>
      <c r="D170" s="151" t="str">
        <f>IF(VLOOKUP(A170,DB_TBL_DATA_FIELDS[[FIELD_ID]:[ERROR_MESSAGE]],23,FALSE)&lt;&gt;0,VLOOKUP(A170,DB_TBL_DATA_FIELDS[[FIELD_ID]:[ERROR_MESSAGE]],23,FALSE),"")</f>
        <v/>
      </c>
      <c r="E170" s="151">
        <f>VLOOKUP(A170,DB_TBL_DATA_FIELDS[[#All],[FIELD_ID]:[RANGE_VALIDATION_MAX]],18,FALSE)</f>
        <v>0</v>
      </c>
      <c r="F170" s="151">
        <f>VLOOKUP(A170,DB_TBL_DATA_FIELDS[[#All],[FIELD_ID]:[RANGE_VALIDATION_MAX]],19,FALSE)</f>
        <v>999999999999</v>
      </c>
      <c r="G170" s="151" t="str">
        <f t="shared" ca="1" si="15"/>
        <v/>
      </c>
      <c r="H170" s="128"/>
      <c r="I170" s="133"/>
      <c r="J170" s="110"/>
      <c r="K170" s="133"/>
      <c r="L170" s="110"/>
      <c r="M170" s="133"/>
      <c r="N170" s="110"/>
      <c r="O170" s="133"/>
      <c r="P170" s="325"/>
      <c r="Q170" s="111"/>
      <c r="R170" s="325"/>
      <c r="S170" s="111"/>
      <c r="T170" s="325"/>
      <c r="U170" s="111"/>
      <c r="V170" s="325"/>
      <c r="W170" s="111"/>
      <c r="X170" s="325"/>
      <c r="Y170" s="111"/>
    </row>
    <row r="171" spans="1:25" ht="22.15" customHeight="1" x14ac:dyDescent="0.3">
      <c r="A171" s="143" t="s">
        <v>2565</v>
      </c>
      <c r="B171" s="233" t="b">
        <v>0</v>
      </c>
      <c r="C171" s="151" t="str">
        <f ca="1">VLOOKUP(A171,DB_TBL_DATA_FIELDS[[FIELD_ID]:[PCT_CALC_FIELD_STATUS_CODE]],22,FALSE)</f>
        <v/>
      </c>
      <c r="D171" s="151" t="str">
        <f>IF(VLOOKUP(A171,DB_TBL_DATA_FIELDS[[FIELD_ID]:[ERROR_MESSAGE]],23,FALSE)&lt;&gt;0,VLOOKUP(A171,DB_TBL_DATA_FIELDS[[FIELD_ID]:[ERROR_MESSAGE]],23,FALSE),"")</f>
        <v/>
      </c>
      <c r="E171" s="151">
        <f>VLOOKUP(A171,DB_TBL_DATA_FIELDS[[#All],[FIELD_ID]:[RANGE_VALIDATION_MAX]],18,FALSE)</f>
        <v>0</v>
      </c>
      <c r="F171" s="151">
        <f>VLOOKUP(A171,DB_TBL_DATA_FIELDS[[#All],[FIELD_ID]:[RANGE_VALIDATION_MAX]],19,FALSE)</f>
        <v>0</v>
      </c>
      <c r="G171" s="151" t="str">
        <f t="shared" ca="1" si="15"/>
        <v/>
      </c>
      <c r="H171" s="128"/>
      <c r="I171" s="232" t="s">
        <v>2699</v>
      </c>
      <c r="J171" s="110"/>
      <c r="K171" s="133"/>
      <c r="L171" s="110"/>
      <c r="M171" s="133"/>
      <c r="N171" s="110"/>
      <c r="O171" s="133"/>
      <c r="P171" s="85"/>
      <c r="Q171" s="111"/>
      <c r="R171" s="85"/>
      <c r="S171" s="111"/>
      <c r="T171" s="85"/>
      <c r="U171" s="111"/>
      <c r="V171" s="85"/>
      <c r="W171" s="111"/>
      <c r="X171" s="85"/>
      <c r="Y171" s="111"/>
    </row>
    <row r="172" spans="1:25" ht="22.15" customHeight="1" x14ac:dyDescent="0.3">
      <c r="A172" s="143" t="s">
        <v>2574</v>
      </c>
      <c r="B172" s="158" t="str">
        <f>IF(I238="","",I238)</f>
        <v/>
      </c>
      <c r="C172" s="151">
        <f ca="1">VLOOKUP(A172,DB_TBL_DATA_FIELDS[[FIELD_ID]:[PCT_CALC_FIELD_STATUS_CODE]],22,FALSE)</f>
        <v>-1</v>
      </c>
      <c r="D172" s="151" t="str">
        <f>IF(VLOOKUP(A172,DB_TBL_DATA_FIELDS[[FIELD_ID]:[ERROR_MESSAGE]],23,FALSE)&lt;&gt;0,VLOOKUP(A172,DB_TBL_DATA_FIELDS[[FIELD_ID]:[ERROR_MESSAGE]],23,FALSE),"")</f>
        <v/>
      </c>
      <c r="E172" s="151">
        <f>VLOOKUP(A172,DB_TBL_DATA_FIELDS[[#All],[FIELD_ID]:[RANGE_VALIDATION_MAX]],18,FALSE)</f>
        <v>0</v>
      </c>
      <c r="F172" s="151">
        <f>VLOOKUP(A172,DB_TBL_DATA_FIELDS[[#All],[FIELD_ID]:[RANGE_VALIDATION_MAX]],19,FALSE)</f>
        <v>200</v>
      </c>
      <c r="G172" s="151" t="str">
        <f t="shared" ca="1" si="15"/>
        <v/>
      </c>
      <c r="H172" s="128"/>
      <c r="I172" s="344"/>
      <c r="J172" s="345"/>
      <c r="K172" s="345"/>
      <c r="L172" s="345"/>
      <c r="M172" s="345"/>
      <c r="N172" s="345"/>
      <c r="O172" s="345"/>
      <c r="P172" s="345"/>
      <c r="Q172" s="345"/>
      <c r="R172" s="345"/>
      <c r="S172" s="345"/>
      <c r="T172" s="345"/>
      <c r="U172" s="345"/>
      <c r="V172" s="345"/>
      <c r="W172" s="346"/>
      <c r="X172" s="96" t="str">
        <f ca="1">G144</f>
        <v/>
      </c>
      <c r="Y172" s="111"/>
    </row>
    <row r="173" spans="1:25" ht="22.15" customHeight="1" x14ac:dyDescent="0.3">
      <c r="A173" s="143" t="s">
        <v>2578</v>
      </c>
      <c r="B173" s="158" t="str">
        <f>IF(I243="","",I243)</f>
        <v/>
      </c>
      <c r="C173" s="151">
        <f ca="1">VLOOKUP(A173,DB_TBL_DATA_FIELDS[[FIELD_ID]:[PCT_CALC_FIELD_STATUS_CODE]],22,FALSE)</f>
        <v>-1</v>
      </c>
      <c r="D173" s="151" t="str">
        <f>IF(VLOOKUP(A173,DB_TBL_DATA_FIELDS[[FIELD_ID]:[ERROR_MESSAGE]],23,FALSE)&lt;&gt;0,VLOOKUP(A173,DB_TBL_DATA_FIELDS[[FIELD_ID]:[ERROR_MESSAGE]],23,FALSE),"")</f>
        <v/>
      </c>
      <c r="E173" s="151">
        <f>VLOOKUP(A173,DB_TBL_DATA_FIELDS[[#All],[FIELD_ID]:[RANGE_VALIDATION_MAX]],18,FALSE)</f>
        <v>0</v>
      </c>
      <c r="F173" s="151">
        <f>VLOOKUP(A173,DB_TBL_DATA_FIELDS[[#All],[FIELD_ID]:[RANGE_VALIDATION_MAX]],19,FALSE)</f>
        <v>200</v>
      </c>
      <c r="G173" s="151" t="str">
        <f t="shared" ca="1" si="15"/>
        <v/>
      </c>
      <c r="H173" s="128"/>
      <c r="I173" s="347"/>
      <c r="J173" s="348"/>
      <c r="K173" s="348"/>
      <c r="L173" s="348"/>
      <c r="M173" s="348"/>
      <c r="N173" s="348"/>
      <c r="O173" s="348"/>
      <c r="P173" s="348"/>
      <c r="Q173" s="348"/>
      <c r="R173" s="348"/>
      <c r="S173" s="348"/>
      <c r="T173" s="348"/>
      <c r="U173" s="348"/>
      <c r="V173" s="348"/>
      <c r="W173" s="349"/>
      <c r="X173" s="85"/>
      <c r="Y173" s="111"/>
    </row>
    <row r="174" spans="1:25" ht="22.15" customHeight="1" x14ac:dyDescent="0.3">
      <c r="A174" s="143" t="s">
        <v>2579</v>
      </c>
      <c r="B174" s="158" t="str">
        <f>IF(S243="","",S243)</f>
        <v/>
      </c>
      <c r="C174" s="151">
        <f ca="1">VLOOKUP(A174,DB_TBL_DATA_FIELDS[[FIELD_ID]:[PCT_CALC_FIELD_STATUS_CODE]],22,FALSE)</f>
        <v>-1</v>
      </c>
      <c r="D174" s="151" t="str">
        <f>IF(VLOOKUP(A174,DB_TBL_DATA_FIELDS[[FIELD_ID]:[ERROR_MESSAGE]],23,FALSE)&lt;&gt;0,VLOOKUP(A174,DB_TBL_DATA_FIELDS[[FIELD_ID]:[ERROR_MESSAGE]],23,FALSE),"")</f>
        <v/>
      </c>
      <c r="E174" s="151">
        <f>VLOOKUP(A174,DB_TBL_DATA_FIELDS[[#All],[FIELD_ID]:[RANGE_VALIDATION_MAX]],18,FALSE)</f>
        <v>0</v>
      </c>
      <c r="F174" s="151">
        <f>VLOOKUP(A174,DB_TBL_DATA_FIELDS[[#All],[FIELD_ID]:[RANGE_VALIDATION_MAX]],19,FALSE)</f>
        <v>999999999999</v>
      </c>
      <c r="G174" s="151" t="str">
        <f t="shared" ca="1" si="15"/>
        <v/>
      </c>
      <c r="H174" s="128"/>
      <c r="I174" s="133"/>
      <c r="J174" s="110"/>
      <c r="K174" s="133"/>
      <c r="L174" s="110"/>
      <c r="M174" s="133"/>
      <c r="N174" s="110"/>
      <c r="O174" s="133"/>
      <c r="P174" s="85"/>
      <c r="Q174" s="111"/>
      <c r="R174" s="85"/>
      <c r="S174" s="111"/>
      <c r="T174" s="85"/>
      <c r="U174" s="111"/>
      <c r="V174" s="85"/>
      <c r="W174" s="111"/>
      <c r="X174" s="85"/>
      <c r="Y174" s="111"/>
    </row>
    <row r="175" spans="1:25" ht="22.15" customHeight="1" thickBot="1" x14ac:dyDescent="0.35">
      <c r="A175" s="143" t="s">
        <v>2581</v>
      </c>
      <c r="B175" s="158" t="str">
        <f>IF(W243="","",IF(UPPER(W243)="YES",TRUE,FALSE))</f>
        <v/>
      </c>
      <c r="C175" s="151">
        <f ca="1">VLOOKUP(A175,DB_TBL_DATA_FIELDS[[FIELD_ID]:[PCT_CALC_FIELD_STATUS_CODE]],22,FALSE)</f>
        <v>-1</v>
      </c>
      <c r="D175" s="151" t="str">
        <f>IF(VLOOKUP(A175,DB_TBL_DATA_FIELDS[[FIELD_ID]:[ERROR_MESSAGE]],23,FALSE)&lt;&gt;0,VLOOKUP(A175,DB_TBL_DATA_FIELDS[[FIELD_ID]:[ERROR_MESSAGE]],23,FALSE),"")</f>
        <v/>
      </c>
      <c r="E175" s="151">
        <f>VLOOKUP(A175,DB_TBL_DATA_FIELDS[[#All],[FIELD_ID]:[RANGE_VALIDATION_MAX]],18,FALSE)</f>
        <v>0</v>
      </c>
      <c r="F175" s="151">
        <f>VLOOKUP(A175,DB_TBL_DATA_FIELDS[[#All],[FIELD_ID]:[RANGE_VALIDATION_MAX]],19,FALSE)</f>
        <v>0</v>
      </c>
      <c r="G175" s="151" t="str">
        <f t="shared" ca="1" si="15"/>
        <v/>
      </c>
      <c r="H175" s="128"/>
      <c r="I175" s="226" t="s">
        <v>2695</v>
      </c>
      <c r="J175" s="229"/>
      <c r="K175" s="229"/>
      <c r="L175" s="229"/>
      <c r="M175" s="229"/>
      <c r="N175" s="229"/>
      <c r="O175" s="229"/>
      <c r="P175" s="230"/>
      <c r="Q175" s="231"/>
      <c r="R175" s="230"/>
      <c r="S175" s="231"/>
      <c r="T175" s="230"/>
      <c r="U175" s="231"/>
      <c r="V175" s="230"/>
      <c r="W175" s="231"/>
      <c r="X175" s="85"/>
      <c r="Y175" s="111"/>
    </row>
    <row r="176" spans="1:25" ht="22.15" customHeight="1" x14ac:dyDescent="0.3">
      <c r="A176" s="143" t="s">
        <v>2589</v>
      </c>
      <c r="B176" s="158" t="str">
        <f>IF(I244="","",I244)</f>
        <v/>
      </c>
      <c r="C176" s="151">
        <f ca="1">VLOOKUP(A176,DB_TBL_DATA_FIELDS[[FIELD_ID]:[PCT_CALC_FIELD_STATUS_CODE]],22,FALSE)</f>
        <v>-1</v>
      </c>
      <c r="D176" s="151" t="str">
        <f>IF(VLOOKUP(A176,DB_TBL_DATA_FIELDS[[FIELD_ID]:[ERROR_MESSAGE]],23,FALSE)&lt;&gt;0,VLOOKUP(A176,DB_TBL_DATA_FIELDS[[FIELD_ID]:[ERROR_MESSAGE]],23,FALSE),"")</f>
        <v/>
      </c>
      <c r="E176" s="151">
        <f>VLOOKUP(A176,DB_TBL_DATA_FIELDS[[#All],[FIELD_ID]:[RANGE_VALIDATION_MAX]],18,FALSE)</f>
        <v>0</v>
      </c>
      <c r="F176" s="151">
        <f>VLOOKUP(A176,DB_TBL_DATA_FIELDS[[#All],[FIELD_ID]:[RANGE_VALIDATION_MAX]],19,FALSE)</f>
        <v>200</v>
      </c>
      <c r="G176" s="151" t="str">
        <f t="shared" ca="1" si="15"/>
        <v/>
      </c>
      <c r="H176" s="128"/>
      <c r="I176" s="133"/>
      <c r="J176" s="110"/>
      <c r="K176" s="133"/>
      <c r="L176" s="110"/>
      <c r="M176" s="133"/>
      <c r="N176" s="110"/>
      <c r="O176" s="133"/>
      <c r="P176" s="85"/>
      <c r="Q176" s="111"/>
      <c r="R176" s="85"/>
      <c r="S176" s="111"/>
      <c r="T176" s="85"/>
      <c r="U176" s="111"/>
      <c r="V176" s="85"/>
      <c r="W176" s="111"/>
      <c r="X176" s="85"/>
      <c r="Y176" s="111"/>
    </row>
    <row r="177" spans="1:25" ht="22.15" customHeight="1" x14ac:dyDescent="0.3">
      <c r="A177" s="143" t="s">
        <v>2590</v>
      </c>
      <c r="B177" s="158" t="str">
        <f>IF(S244="","",S244)</f>
        <v/>
      </c>
      <c r="C177" s="151">
        <f ca="1">VLOOKUP(A177,DB_TBL_DATA_FIELDS[[FIELD_ID]:[PCT_CALC_FIELD_STATUS_CODE]],22,FALSE)</f>
        <v>-1</v>
      </c>
      <c r="D177" s="151" t="str">
        <f>IF(VLOOKUP(A177,DB_TBL_DATA_FIELDS[[FIELD_ID]:[ERROR_MESSAGE]],23,FALSE)&lt;&gt;0,VLOOKUP(A177,DB_TBL_DATA_FIELDS[[FIELD_ID]:[ERROR_MESSAGE]],23,FALSE),"")</f>
        <v/>
      </c>
      <c r="E177" s="151">
        <f>VLOOKUP(A177,DB_TBL_DATA_FIELDS[[#All],[FIELD_ID]:[RANGE_VALIDATION_MAX]],18,FALSE)</f>
        <v>0</v>
      </c>
      <c r="F177" s="151">
        <f>VLOOKUP(A177,DB_TBL_DATA_FIELDS[[#All],[FIELD_ID]:[RANGE_VALIDATION_MAX]],19,FALSE)</f>
        <v>999999999999</v>
      </c>
      <c r="G177" s="151" t="str">
        <f t="shared" ca="1" si="15"/>
        <v/>
      </c>
      <c r="H177" s="128"/>
      <c r="I177" s="120" t="s">
        <v>2695</v>
      </c>
      <c r="J177" s="212"/>
      <c r="K177" s="212"/>
      <c r="L177" s="212"/>
      <c r="M177" s="212"/>
      <c r="N177" s="212"/>
      <c r="O177" s="212"/>
      <c r="P177" s="135"/>
      <c r="Q177" s="135"/>
      <c r="R177" s="135"/>
      <c r="S177" s="356"/>
      <c r="T177" s="357"/>
      <c r="U177" s="357"/>
      <c r="V177" s="357"/>
      <c r="W177" s="358"/>
      <c r="X177" s="96">
        <f ca="1">G145</f>
        <v>1</v>
      </c>
      <c r="Y177" s="111"/>
    </row>
    <row r="178" spans="1:25" ht="22.15" customHeight="1" x14ac:dyDescent="0.3">
      <c r="A178" s="143" t="s">
        <v>2592</v>
      </c>
      <c r="B178" s="158" t="str">
        <f>IF(W244="","",IF(UPPER(W244)="YES",TRUE,FALSE))</f>
        <v/>
      </c>
      <c r="C178" s="151">
        <f ca="1">VLOOKUP(A178,DB_TBL_DATA_FIELDS[[FIELD_ID]:[PCT_CALC_FIELD_STATUS_CODE]],22,FALSE)</f>
        <v>-1</v>
      </c>
      <c r="D178" s="151" t="str">
        <f>IF(VLOOKUP(A178,DB_TBL_DATA_FIELDS[[FIELD_ID]:[ERROR_MESSAGE]],23,FALSE)&lt;&gt;0,VLOOKUP(A178,DB_TBL_DATA_FIELDS[[FIELD_ID]:[ERROR_MESSAGE]],23,FALSE),"")</f>
        <v/>
      </c>
      <c r="E178" s="151">
        <f>VLOOKUP(A178,DB_TBL_DATA_FIELDS[[#All],[FIELD_ID]:[RANGE_VALIDATION_MAX]],18,FALSE)</f>
        <v>0</v>
      </c>
      <c r="F178" s="151">
        <f>VLOOKUP(A178,DB_TBL_DATA_FIELDS[[#All],[FIELD_ID]:[RANGE_VALIDATION_MAX]],19,FALSE)</f>
        <v>0</v>
      </c>
      <c r="G178" s="151" t="str">
        <f t="shared" ca="1" si="15"/>
        <v/>
      </c>
      <c r="H178" s="128"/>
      <c r="I178" s="137" t="s">
        <v>2696</v>
      </c>
      <c r="J178" s="110"/>
      <c r="K178" s="133"/>
      <c r="L178" s="110"/>
      <c r="M178" s="133"/>
      <c r="N178" s="110"/>
      <c r="O178" s="133"/>
      <c r="P178" s="85"/>
      <c r="Q178" s="111"/>
      <c r="R178" s="85"/>
      <c r="S178" s="111"/>
      <c r="T178" s="85"/>
      <c r="U178" s="111"/>
      <c r="V178" s="85"/>
      <c r="W178" s="111"/>
      <c r="X178" s="85"/>
      <c r="Y178" s="111"/>
    </row>
    <row r="179" spans="1:25" ht="22.15" customHeight="1" x14ac:dyDescent="0.3">
      <c r="A179" s="143" t="s">
        <v>2593</v>
      </c>
      <c r="B179" s="158" t="str">
        <f>IF(I245="","",I245)</f>
        <v/>
      </c>
      <c r="C179" s="151">
        <f ca="1">VLOOKUP(A179,DB_TBL_DATA_FIELDS[[FIELD_ID]:[PCT_CALC_FIELD_STATUS_CODE]],22,FALSE)</f>
        <v>-1</v>
      </c>
      <c r="D179" s="151" t="str">
        <f>IF(VLOOKUP(A179,DB_TBL_DATA_FIELDS[[FIELD_ID]:[ERROR_MESSAGE]],23,FALSE)&lt;&gt;0,VLOOKUP(A179,DB_TBL_DATA_FIELDS[[FIELD_ID]:[ERROR_MESSAGE]],23,FALSE),"")</f>
        <v/>
      </c>
      <c r="E179" s="151">
        <f>VLOOKUP(A179,DB_TBL_DATA_FIELDS[[#All],[FIELD_ID]:[RANGE_VALIDATION_MAX]],18,FALSE)</f>
        <v>0</v>
      </c>
      <c r="F179" s="151">
        <f>VLOOKUP(A179,DB_TBL_DATA_FIELDS[[#All],[FIELD_ID]:[RANGE_VALIDATION_MAX]],19,FALSE)</f>
        <v>200</v>
      </c>
      <c r="G179" s="151" t="str">
        <f t="shared" ca="1" si="15"/>
        <v/>
      </c>
      <c r="H179" s="128"/>
      <c r="I179" s="344"/>
      <c r="J179" s="345"/>
      <c r="K179" s="345"/>
      <c r="L179" s="345"/>
      <c r="M179" s="345"/>
      <c r="N179" s="345"/>
      <c r="O179" s="345"/>
      <c r="P179" s="345"/>
      <c r="Q179" s="345"/>
      <c r="R179" s="345"/>
      <c r="S179" s="345"/>
      <c r="T179" s="345"/>
      <c r="U179" s="345"/>
      <c r="V179" s="345"/>
      <c r="W179" s="346"/>
      <c r="X179" s="96" t="str">
        <f ca="1">G147</f>
        <v/>
      </c>
      <c r="Y179" s="111"/>
    </row>
    <row r="180" spans="1:25" ht="22.15" customHeight="1" x14ac:dyDescent="0.3">
      <c r="A180" s="143" t="s">
        <v>2594</v>
      </c>
      <c r="B180" s="158" t="str">
        <f>IF(S245="","",S245)</f>
        <v/>
      </c>
      <c r="C180" s="151">
        <f ca="1">VLOOKUP(A180,DB_TBL_DATA_FIELDS[[FIELD_ID]:[PCT_CALC_FIELD_STATUS_CODE]],22,FALSE)</f>
        <v>-1</v>
      </c>
      <c r="D180" s="151" t="str">
        <f>IF(VLOOKUP(A180,DB_TBL_DATA_FIELDS[[FIELD_ID]:[ERROR_MESSAGE]],23,FALSE)&lt;&gt;0,VLOOKUP(A180,DB_TBL_DATA_FIELDS[[FIELD_ID]:[ERROR_MESSAGE]],23,FALSE),"")</f>
        <v/>
      </c>
      <c r="E180" s="151">
        <f>VLOOKUP(A180,DB_TBL_DATA_FIELDS[[#All],[FIELD_ID]:[RANGE_VALIDATION_MAX]],18,FALSE)</f>
        <v>0</v>
      </c>
      <c r="F180" s="151">
        <f>VLOOKUP(A180,DB_TBL_DATA_FIELDS[[#All],[FIELD_ID]:[RANGE_VALIDATION_MAX]],19,FALSE)</f>
        <v>999999999999</v>
      </c>
      <c r="G180" s="151" t="str">
        <f t="shared" ca="1" si="15"/>
        <v/>
      </c>
      <c r="H180" s="128"/>
      <c r="I180" s="347"/>
      <c r="J180" s="348"/>
      <c r="K180" s="348"/>
      <c r="L180" s="348"/>
      <c r="M180" s="348"/>
      <c r="N180" s="348"/>
      <c r="O180" s="348"/>
      <c r="P180" s="348"/>
      <c r="Q180" s="348"/>
      <c r="R180" s="348"/>
      <c r="S180" s="348"/>
      <c r="T180" s="348"/>
      <c r="U180" s="348"/>
      <c r="V180" s="348"/>
      <c r="W180" s="349"/>
      <c r="X180" s="85"/>
      <c r="Y180" s="111"/>
    </row>
    <row r="181" spans="1:25" ht="22.15" customHeight="1" x14ac:dyDescent="0.3">
      <c r="A181" s="143" t="s">
        <v>2596</v>
      </c>
      <c r="B181" s="158" t="str">
        <f>IF(W245="","",IF(UPPER(W245)="YES",TRUE,FALSE))</f>
        <v/>
      </c>
      <c r="C181" s="151">
        <f ca="1">VLOOKUP(A181,DB_TBL_DATA_FIELDS[[FIELD_ID]:[PCT_CALC_FIELD_STATUS_CODE]],22,FALSE)</f>
        <v>-1</v>
      </c>
      <c r="D181" s="151" t="str">
        <f>IF(VLOOKUP(A181,DB_TBL_DATA_FIELDS[[FIELD_ID]:[ERROR_MESSAGE]],23,FALSE)&lt;&gt;0,VLOOKUP(A181,DB_TBL_DATA_FIELDS[[FIELD_ID]:[ERROR_MESSAGE]],23,FALSE),"")</f>
        <v/>
      </c>
      <c r="E181" s="151">
        <f>VLOOKUP(A181,DB_TBL_DATA_FIELDS[[#All],[FIELD_ID]:[RANGE_VALIDATION_MAX]],18,FALSE)</f>
        <v>0</v>
      </c>
      <c r="F181" s="151">
        <f>VLOOKUP(A181,DB_TBL_DATA_FIELDS[[#All],[FIELD_ID]:[RANGE_VALIDATION_MAX]],19,FALSE)</f>
        <v>0</v>
      </c>
      <c r="G181" s="151" t="str">
        <f t="shared" ca="1" si="15"/>
        <v/>
      </c>
      <c r="H181" s="128"/>
      <c r="I181" s="133"/>
      <c r="J181" s="110"/>
      <c r="K181" s="133"/>
      <c r="L181" s="110"/>
      <c r="M181" s="133"/>
      <c r="N181" s="110"/>
      <c r="O181" s="133"/>
      <c r="P181" s="85"/>
      <c r="Q181" s="111"/>
      <c r="R181" s="85"/>
      <c r="S181" s="111"/>
      <c r="T181" s="85"/>
      <c r="U181" s="111"/>
      <c r="V181" s="85"/>
      <c r="W181" s="111"/>
      <c r="X181" s="85"/>
      <c r="Y181" s="111"/>
    </row>
    <row r="182" spans="1:25" ht="22.15" customHeight="1" thickBot="1" x14ac:dyDescent="0.35">
      <c r="A182" s="143" t="s">
        <v>2597</v>
      </c>
      <c r="B182" s="158" t="str">
        <f>IF(I246="","",I246)</f>
        <v/>
      </c>
      <c r="C182" s="151">
        <f ca="1">VLOOKUP(A182,DB_TBL_DATA_FIELDS[[FIELD_ID]:[PCT_CALC_FIELD_STATUS_CODE]],22,FALSE)</f>
        <v>-1</v>
      </c>
      <c r="D182" s="151" t="str">
        <f>IF(VLOOKUP(A182,DB_TBL_DATA_FIELDS[[FIELD_ID]:[ERROR_MESSAGE]],23,FALSE)&lt;&gt;0,VLOOKUP(A182,DB_TBL_DATA_FIELDS[[FIELD_ID]:[ERROR_MESSAGE]],23,FALSE),"")</f>
        <v/>
      </c>
      <c r="E182" s="151">
        <f>VLOOKUP(A182,DB_TBL_DATA_FIELDS[[#All],[FIELD_ID]:[RANGE_VALIDATION_MAX]],18,FALSE)</f>
        <v>0</v>
      </c>
      <c r="F182" s="151">
        <f>VLOOKUP(A182,DB_TBL_DATA_FIELDS[[#All],[FIELD_ID]:[RANGE_VALIDATION_MAX]],19,FALSE)</f>
        <v>200</v>
      </c>
      <c r="G182" s="151" t="str">
        <f t="shared" ca="1" si="15"/>
        <v/>
      </c>
      <c r="H182" s="128"/>
      <c r="I182" s="226" t="s">
        <v>2697</v>
      </c>
      <c r="J182" s="229"/>
      <c r="K182" s="229"/>
      <c r="L182" s="229"/>
      <c r="M182" s="229"/>
      <c r="N182" s="229"/>
      <c r="O182" s="229"/>
      <c r="P182" s="230"/>
      <c r="Q182" s="231"/>
      <c r="R182" s="230"/>
      <c r="S182" s="231"/>
      <c r="T182" s="230"/>
      <c r="U182" s="231"/>
      <c r="V182" s="230"/>
      <c r="W182" s="231"/>
      <c r="X182" s="85"/>
      <c r="Y182" s="111"/>
    </row>
    <row r="183" spans="1:25" ht="22.15" customHeight="1" x14ac:dyDescent="0.3">
      <c r="A183" s="143" t="s">
        <v>2598</v>
      </c>
      <c r="B183" s="158" t="str">
        <f>IF(S246="","",S246)</f>
        <v/>
      </c>
      <c r="C183" s="151">
        <f ca="1">VLOOKUP(A183,DB_TBL_DATA_FIELDS[[FIELD_ID]:[PCT_CALC_FIELD_STATUS_CODE]],22,FALSE)</f>
        <v>-1</v>
      </c>
      <c r="D183" s="151" t="str">
        <f>IF(VLOOKUP(A183,DB_TBL_DATA_FIELDS[[FIELD_ID]:[ERROR_MESSAGE]],23,FALSE)&lt;&gt;0,VLOOKUP(A183,DB_TBL_DATA_FIELDS[[FIELD_ID]:[ERROR_MESSAGE]],23,FALSE),"")</f>
        <v/>
      </c>
      <c r="E183" s="151">
        <f>VLOOKUP(A183,DB_TBL_DATA_FIELDS[[#All],[FIELD_ID]:[RANGE_VALIDATION_MAX]],18,FALSE)</f>
        <v>0</v>
      </c>
      <c r="F183" s="151">
        <f>VLOOKUP(A183,DB_TBL_DATA_FIELDS[[#All],[FIELD_ID]:[RANGE_VALIDATION_MAX]],19,FALSE)</f>
        <v>999999999999</v>
      </c>
      <c r="G183" s="151" t="str">
        <f t="shared" ca="1" si="15"/>
        <v/>
      </c>
      <c r="H183" s="128"/>
      <c r="I183" s="133"/>
      <c r="J183" s="110"/>
      <c r="K183" s="133"/>
      <c r="L183" s="110"/>
      <c r="M183" s="133"/>
      <c r="N183" s="110"/>
      <c r="O183" s="133"/>
      <c r="P183" s="85"/>
      <c r="Q183" s="111"/>
      <c r="R183" s="85"/>
      <c r="S183" s="111"/>
      <c r="T183" s="85"/>
      <c r="U183" s="111"/>
      <c r="V183" s="85"/>
      <c r="W183" s="111"/>
      <c r="X183" s="85"/>
      <c r="Y183" s="111"/>
    </row>
    <row r="184" spans="1:25" ht="22.15" customHeight="1" x14ac:dyDescent="0.3">
      <c r="A184" s="143" t="s">
        <v>2600</v>
      </c>
      <c r="B184" s="158" t="str">
        <f>IF(W246="","",IF(UPPER(W246)="YES",TRUE,FALSE))</f>
        <v/>
      </c>
      <c r="C184" s="151">
        <f ca="1">VLOOKUP(A184,DB_TBL_DATA_FIELDS[[FIELD_ID]:[PCT_CALC_FIELD_STATUS_CODE]],22,FALSE)</f>
        <v>-1</v>
      </c>
      <c r="D184" s="151" t="str">
        <f>IF(VLOOKUP(A184,DB_TBL_DATA_FIELDS[[FIELD_ID]:[ERROR_MESSAGE]],23,FALSE)&lt;&gt;0,VLOOKUP(A184,DB_TBL_DATA_FIELDS[[FIELD_ID]:[ERROR_MESSAGE]],23,FALSE),"")</f>
        <v/>
      </c>
      <c r="E184" s="151">
        <f>VLOOKUP(A184,DB_TBL_DATA_FIELDS[[#All],[FIELD_ID]:[RANGE_VALIDATION_MAX]],18,FALSE)</f>
        <v>0</v>
      </c>
      <c r="F184" s="151">
        <f>VLOOKUP(A184,DB_TBL_DATA_FIELDS[[#All],[FIELD_ID]:[RANGE_VALIDATION_MAX]],19,FALSE)</f>
        <v>0</v>
      </c>
      <c r="G184" s="151" t="str">
        <f t="shared" ca="1" si="15"/>
        <v/>
      </c>
      <c r="H184" s="128"/>
      <c r="I184" s="137" t="s">
        <v>2698</v>
      </c>
      <c r="J184" s="110"/>
      <c r="K184" s="133"/>
      <c r="L184" s="110"/>
      <c r="M184" s="133"/>
      <c r="N184" s="110"/>
      <c r="O184" s="133"/>
      <c r="P184" s="85"/>
      <c r="Q184" s="111"/>
      <c r="R184" s="85"/>
      <c r="S184" s="111"/>
      <c r="T184" s="85"/>
      <c r="U184" s="111"/>
      <c r="V184" s="85"/>
      <c r="W184" s="211" t="str">
        <f>SUBSTITUTE(SUBSTITUTE(SUBSTITUTE(IF(LEN(B148)&gt;F148,CONFIG_CHAR_LIMIT_TEMPLATE_ERR,CONFIG_CHAR_LIMIT_TEMPLATE),"[diff]",ABS(LEN(B148)-F148)),"[limit]",F148),"[used]",LEN(B148))</f>
        <v>2000 character(s) remaining</v>
      </c>
      <c r="X184" s="85"/>
      <c r="Y184" s="111"/>
    </row>
    <row r="185" spans="1:25" ht="22.15" customHeight="1" x14ac:dyDescent="0.3">
      <c r="A185" s="143" t="s">
        <v>2613</v>
      </c>
      <c r="B185" s="158" t="str">
        <f>IF(W248="","",IF(UPPER(W248)="YES",TRUE,FALSE))</f>
        <v/>
      </c>
      <c r="C185" s="151">
        <f ca="1">VLOOKUP(A185,DB_TBL_DATA_FIELDS[[FIELD_ID]:[PCT_CALC_FIELD_STATUS_CODE]],22,FALSE)</f>
        <v>1</v>
      </c>
      <c r="D185" s="151" t="str">
        <f>IF(VLOOKUP(A185,DB_TBL_DATA_FIELDS[[FIELD_ID]:[ERROR_MESSAGE]],23,FALSE)&lt;&gt;0,VLOOKUP(A185,DB_TBL_DATA_FIELDS[[FIELD_ID]:[ERROR_MESSAGE]],23,FALSE),"")</f>
        <v/>
      </c>
      <c r="E185" s="151">
        <f>VLOOKUP(A185,DB_TBL_DATA_FIELDS[[#All],[FIELD_ID]:[RANGE_VALIDATION_MAX]],18,FALSE)</f>
        <v>0</v>
      </c>
      <c r="F185" s="151">
        <f>VLOOKUP(A185,DB_TBL_DATA_FIELDS[[#All],[FIELD_ID]:[RANGE_VALIDATION_MAX]],19,FALSE)</f>
        <v>0</v>
      </c>
      <c r="G185" s="151">
        <f t="shared" ca="1" si="15"/>
        <v>1</v>
      </c>
      <c r="H185" s="128"/>
      <c r="I185" s="344"/>
      <c r="J185" s="345"/>
      <c r="K185" s="345"/>
      <c r="L185" s="345"/>
      <c r="M185" s="345"/>
      <c r="N185" s="345"/>
      <c r="O185" s="345"/>
      <c r="P185" s="345"/>
      <c r="Q185" s="345"/>
      <c r="R185" s="345"/>
      <c r="S185" s="345"/>
      <c r="T185" s="345"/>
      <c r="U185" s="345"/>
      <c r="V185" s="345"/>
      <c r="W185" s="346"/>
      <c r="X185" s="96">
        <f ca="1">G148</f>
        <v>1</v>
      </c>
      <c r="Y185" s="111"/>
    </row>
    <row r="186" spans="1:25" ht="22.15" customHeight="1" x14ac:dyDescent="0.3">
      <c r="A186" s="143" t="s">
        <v>2616</v>
      </c>
      <c r="B186" s="158" t="str">
        <f>IF(I251="","",I251)</f>
        <v/>
      </c>
      <c r="C186" s="151">
        <f ca="1">VLOOKUP(A186,DB_TBL_DATA_FIELDS[[FIELD_ID]:[PCT_CALC_FIELD_STATUS_CODE]],22,FALSE)</f>
        <v>-1</v>
      </c>
      <c r="D186" s="151" t="str">
        <f>IF(VLOOKUP(A186,DB_TBL_DATA_FIELDS[[FIELD_ID]:[ERROR_MESSAGE]],23,FALSE)&lt;&gt;0,VLOOKUP(A186,DB_TBL_DATA_FIELDS[[FIELD_ID]:[ERROR_MESSAGE]],23,FALSE),"")</f>
        <v/>
      </c>
      <c r="E186" s="151">
        <f>VLOOKUP(A186,DB_TBL_DATA_FIELDS[[#All],[FIELD_ID]:[RANGE_VALIDATION_MAX]],18,FALSE)</f>
        <v>0</v>
      </c>
      <c r="F186" s="151">
        <f>VLOOKUP(A186,DB_TBL_DATA_FIELDS[[#All],[FIELD_ID]:[RANGE_VALIDATION_MAX]],19,FALSE)</f>
        <v>200</v>
      </c>
      <c r="G186" s="151" t="str">
        <f t="shared" ca="1" si="15"/>
        <v/>
      </c>
      <c r="H186" s="128"/>
      <c r="I186" s="360"/>
      <c r="J186" s="361"/>
      <c r="K186" s="361"/>
      <c r="L186" s="361"/>
      <c r="M186" s="361"/>
      <c r="N186" s="361"/>
      <c r="O186" s="361"/>
      <c r="P186" s="361"/>
      <c r="Q186" s="361"/>
      <c r="R186" s="361"/>
      <c r="S186" s="361"/>
      <c r="T186" s="361"/>
      <c r="U186" s="361"/>
      <c r="V186" s="361"/>
      <c r="W186" s="362"/>
      <c r="X186" s="85"/>
      <c r="Y186" s="111"/>
    </row>
    <row r="187" spans="1:25" ht="22.15" customHeight="1" x14ac:dyDescent="0.3">
      <c r="A187" s="143" t="s">
        <v>2620</v>
      </c>
      <c r="B187" s="158" t="str">
        <f>IF(Q251="","",Q251)</f>
        <v/>
      </c>
      <c r="C187" s="151">
        <f ca="1">VLOOKUP(A187,DB_TBL_DATA_FIELDS[[FIELD_ID]:[PCT_CALC_FIELD_STATUS_CODE]],22,FALSE)</f>
        <v>-1</v>
      </c>
      <c r="D187" s="151" t="str">
        <f>IF(VLOOKUP(A187,DB_TBL_DATA_FIELDS[[FIELD_ID]:[ERROR_MESSAGE]],23,FALSE)&lt;&gt;0,VLOOKUP(A187,DB_TBL_DATA_FIELDS[[FIELD_ID]:[ERROR_MESSAGE]],23,FALSE),"")</f>
        <v/>
      </c>
      <c r="E187" s="151">
        <f>VLOOKUP(A187,DB_TBL_DATA_FIELDS[[#All],[FIELD_ID]:[RANGE_VALIDATION_MAX]],18,FALSE)</f>
        <v>0</v>
      </c>
      <c r="F187" s="151">
        <f>VLOOKUP(A187,DB_TBL_DATA_FIELDS[[#All],[FIELD_ID]:[RANGE_VALIDATION_MAX]],19,FALSE)</f>
        <v>200</v>
      </c>
      <c r="G187" s="151" t="str">
        <f t="shared" ca="1" si="15"/>
        <v/>
      </c>
      <c r="H187" s="128"/>
      <c r="I187" s="360"/>
      <c r="J187" s="361"/>
      <c r="K187" s="361"/>
      <c r="L187" s="361"/>
      <c r="M187" s="361"/>
      <c r="N187" s="361"/>
      <c r="O187" s="361"/>
      <c r="P187" s="361"/>
      <c r="Q187" s="361"/>
      <c r="R187" s="361"/>
      <c r="S187" s="361"/>
      <c r="T187" s="361"/>
      <c r="U187" s="361"/>
      <c r="V187" s="361"/>
      <c r="W187" s="362"/>
      <c r="X187" s="85"/>
      <c r="Y187" s="111"/>
    </row>
    <row r="188" spans="1:25" ht="22.15" customHeight="1" x14ac:dyDescent="0.3">
      <c r="A188" s="143" t="s">
        <v>2623</v>
      </c>
      <c r="B188" s="158" t="str">
        <f>IF(I252="","",I252)</f>
        <v/>
      </c>
      <c r="C188" s="151">
        <f ca="1">VLOOKUP(A188,DB_TBL_DATA_FIELDS[[FIELD_ID]:[PCT_CALC_FIELD_STATUS_CODE]],22,FALSE)</f>
        <v>-1</v>
      </c>
      <c r="D188" s="151" t="str">
        <f>IF(VLOOKUP(A188,DB_TBL_DATA_FIELDS[[FIELD_ID]:[ERROR_MESSAGE]],23,FALSE)&lt;&gt;0,VLOOKUP(A188,DB_TBL_DATA_FIELDS[[FIELD_ID]:[ERROR_MESSAGE]],23,FALSE),"")</f>
        <v/>
      </c>
      <c r="E188" s="151">
        <f>VLOOKUP(A188,DB_TBL_DATA_FIELDS[[#All],[FIELD_ID]:[RANGE_VALIDATION_MAX]],18,FALSE)</f>
        <v>0</v>
      </c>
      <c r="F188" s="151">
        <f>VLOOKUP(A188,DB_TBL_DATA_FIELDS[[#All],[FIELD_ID]:[RANGE_VALIDATION_MAX]],19,FALSE)</f>
        <v>200</v>
      </c>
      <c r="G188" s="151" t="str">
        <f t="shared" ca="1" si="15"/>
        <v/>
      </c>
      <c r="H188" s="128"/>
      <c r="I188" s="360"/>
      <c r="J188" s="361"/>
      <c r="K188" s="361"/>
      <c r="L188" s="361"/>
      <c r="M188" s="361"/>
      <c r="N188" s="361"/>
      <c r="O188" s="361"/>
      <c r="P188" s="361"/>
      <c r="Q188" s="361"/>
      <c r="R188" s="361"/>
      <c r="S188" s="361"/>
      <c r="T188" s="361"/>
      <c r="U188" s="361"/>
      <c r="V188" s="361"/>
      <c r="W188" s="362"/>
      <c r="X188" s="85"/>
      <c r="Y188" s="111"/>
    </row>
    <row r="189" spans="1:25" ht="22.15" customHeight="1" x14ac:dyDescent="0.3">
      <c r="A189" s="143" t="s">
        <v>2624</v>
      </c>
      <c r="B189" s="158" t="str">
        <f>IF(Q252="","",Q252)</f>
        <v/>
      </c>
      <c r="C189" s="151">
        <f ca="1">VLOOKUP(A189,DB_TBL_DATA_FIELDS[[FIELD_ID]:[PCT_CALC_FIELD_STATUS_CODE]],22,FALSE)</f>
        <v>-1</v>
      </c>
      <c r="D189" s="151" t="str">
        <f>IF(VLOOKUP(A189,DB_TBL_DATA_FIELDS[[FIELD_ID]:[ERROR_MESSAGE]],23,FALSE)&lt;&gt;0,VLOOKUP(A189,DB_TBL_DATA_FIELDS[[FIELD_ID]:[ERROR_MESSAGE]],23,FALSE),"")</f>
        <v/>
      </c>
      <c r="E189" s="151">
        <f>VLOOKUP(A189,DB_TBL_DATA_FIELDS[[#All],[FIELD_ID]:[RANGE_VALIDATION_MAX]],18,FALSE)</f>
        <v>0</v>
      </c>
      <c r="F189" s="151">
        <f>VLOOKUP(A189,DB_TBL_DATA_FIELDS[[#All],[FIELD_ID]:[RANGE_VALIDATION_MAX]],19,FALSE)</f>
        <v>200</v>
      </c>
      <c r="G189" s="151" t="str">
        <f t="shared" ca="1" si="15"/>
        <v/>
      </c>
      <c r="H189" s="128"/>
      <c r="I189" s="360"/>
      <c r="J189" s="361"/>
      <c r="K189" s="361"/>
      <c r="L189" s="361"/>
      <c r="M189" s="361"/>
      <c r="N189" s="361"/>
      <c r="O189" s="361"/>
      <c r="P189" s="361"/>
      <c r="Q189" s="361"/>
      <c r="R189" s="361"/>
      <c r="S189" s="361"/>
      <c r="T189" s="361"/>
      <c r="U189" s="361"/>
      <c r="V189" s="361"/>
      <c r="W189" s="362"/>
      <c r="X189" s="85"/>
      <c r="Y189" s="111"/>
    </row>
    <row r="190" spans="1:25" ht="22.15" customHeight="1" x14ac:dyDescent="0.3">
      <c r="A190" s="143" t="s">
        <v>2625</v>
      </c>
      <c r="B190" s="158" t="str">
        <f>IF(I253="","",I253)</f>
        <v/>
      </c>
      <c r="C190" s="151">
        <f ca="1">VLOOKUP(A190,DB_TBL_DATA_FIELDS[[FIELD_ID]:[PCT_CALC_FIELD_STATUS_CODE]],22,FALSE)</f>
        <v>-1</v>
      </c>
      <c r="D190" s="151" t="str">
        <f>IF(VLOOKUP(A190,DB_TBL_DATA_FIELDS[[FIELD_ID]:[ERROR_MESSAGE]],23,FALSE)&lt;&gt;0,VLOOKUP(A190,DB_TBL_DATA_FIELDS[[FIELD_ID]:[ERROR_MESSAGE]],23,FALSE),"")</f>
        <v/>
      </c>
      <c r="E190" s="151">
        <f>VLOOKUP(A190,DB_TBL_DATA_FIELDS[[#All],[FIELD_ID]:[RANGE_VALIDATION_MAX]],18,FALSE)</f>
        <v>0</v>
      </c>
      <c r="F190" s="151">
        <f>VLOOKUP(A190,DB_TBL_DATA_FIELDS[[#All],[FIELD_ID]:[RANGE_VALIDATION_MAX]],19,FALSE)</f>
        <v>200</v>
      </c>
      <c r="G190" s="151" t="str">
        <f t="shared" ca="1" si="15"/>
        <v/>
      </c>
      <c r="H190" s="128"/>
      <c r="I190" s="360"/>
      <c r="J190" s="361"/>
      <c r="K190" s="361"/>
      <c r="L190" s="361"/>
      <c r="M190" s="361"/>
      <c r="N190" s="361"/>
      <c r="O190" s="361"/>
      <c r="P190" s="361"/>
      <c r="Q190" s="361"/>
      <c r="R190" s="361"/>
      <c r="S190" s="361"/>
      <c r="T190" s="361"/>
      <c r="U190" s="361"/>
      <c r="V190" s="361"/>
      <c r="W190" s="362"/>
      <c r="X190" s="319"/>
      <c r="Y190" s="111"/>
    </row>
    <row r="191" spans="1:25" ht="22.15" customHeight="1" x14ac:dyDescent="0.3">
      <c r="A191" s="143" t="s">
        <v>2626</v>
      </c>
      <c r="B191" s="158" t="str">
        <f>IF(Q253="","",Q253)</f>
        <v/>
      </c>
      <c r="C191" s="151">
        <f ca="1">VLOOKUP(A191,DB_TBL_DATA_FIELDS[[FIELD_ID]:[PCT_CALC_FIELD_STATUS_CODE]],22,FALSE)</f>
        <v>-1</v>
      </c>
      <c r="D191" s="151" t="str">
        <f>IF(VLOOKUP(A191,DB_TBL_DATA_FIELDS[[FIELD_ID]:[ERROR_MESSAGE]],23,FALSE)&lt;&gt;0,VLOOKUP(A191,DB_TBL_DATA_FIELDS[[FIELD_ID]:[ERROR_MESSAGE]],23,FALSE),"")</f>
        <v/>
      </c>
      <c r="E191" s="151">
        <f>VLOOKUP(A191,DB_TBL_DATA_FIELDS[[#All],[FIELD_ID]:[RANGE_VALIDATION_MAX]],18,FALSE)</f>
        <v>0</v>
      </c>
      <c r="F191" s="151">
        <f>VLOOKUP(A191,DB_TBL_DATA_FIELDS[[#All],[FIELD_ID]:[RANGE_VALIDATION_MAX]],19,FALSE)</f>
        <v>200</v>
      </c>
      <c r="G191" s="151" t="str">
        <f t="shared" ca="1" si="15"/>
        <v/>
      </c>
      <c r="H191" s="128"/>
      <c r="I191" s="360"/>
      <c r="J191" s="361"/>
      <c r="K191" s="361"/>
      <c r="L191" s="361"/>
      <c r="M191" s="361"/>
      <c r="N191" s="361"/>
      <c r="O191" s="361"/>
      <c r="P191" s="361"/>
      <c r="Q191" s="361"/>
      <c r="R191" s="361"/>
      <c r="S191" s="361"/>
      <c r="T191" s="361"/>
      <c r="U191" s="361"/>
      <c r="V191" s="361"/>
      <c r="W191" s="362"/>
      <c r="X191" s="319"/>
      <c r="Y191" s="111"/>
    </row>
    <row r="192" spans="1:25" ht="22.15" customHeight="1" x14ac:dyDescent="0.3">
      <c r="A192" s="143" t="s">
        <v>2627</v>
      </c>
      <c r="B192" s="158" t="str">
        <f>IF(I254="","",I254)</f>
        <v/>
      </c>
      <c r="C192" s="151">
        <f ca="1">VLOOKUP(A192,DB_TBL_DATA_FIELDS[[FIELD_ID]:[PCT_CALC_FIELD_STATUS_CODE]],22,FALSE)</f>
        <v>-1</v>
      </c>
      <c r="D192" s="151" t="str">
        <f>IF(VLOOKUP(A192,DB_TBL_DATA_FIELDS[[FIELD_ID]:[ERROR_MESSAGE]],23,FALSE)&lt;&gt;0,VLOOKUP(A192,DB_TBL_DATA_FIELDS[[FIELD_ID]:[ERROR_MESSAGE]],23,FALSE),"")</f>
        <v/>
      </c>
      <c r="E192" s="151">
        <f>VLOOKUP(A192,DB_TBL_DATA_FIELDS[[#All],[FIELD_ID]:[RANGE_VALIDATION_MAX]],18,FALSE)</f>
        <v>0</v>
      </c>
      <c r="F192" s="151">
        <f>VLOOKUP(A192,DB_TBL_DATA_FIELDS[[#All],[FIELD_ID]:[RANGE_VALIDATION_MAX]],19,FALSE)</f>
        <v>200</v>
      </c>
      <c r="G192" s="151" t="str">
        <f t="shared" ca="1" si="15"/>
        <v/>
      </c>
      <c r="H192" s="128"/>
      <c r="I192" s="360"/>
      <c r="J192" s="361"/>
      <c r="K192" s="361"/>
      <c r="L192" s="361"/>
      <c r="M192" s="361"/>
      <c r="N192" s="361"/>
      <c r="O192" s="361"/>
      <c r="P192" s="361"/>
      <c r="Q192" s="361"/>
      <c r="R192" s="361"/>
      <c r="S192" s="361"/>
      <c r="T192" s="361"/>
      <c r="U192" s="361"/>
      <c r="V192" s="361"/>
      <c r="W192" s="362"/>
      <c r="X192" s="319"/>
      <c r="Y192" s="111"/>
    </row>
    <row r="193" spans="1:25" ht="22.15" customHeight="1" x14ac:dyDescent="0.3">
      <c r="A193" s="143" t="s">
        <v>2628</v>
      </c>
      <c r="B193" s="158" t="str">
        <f>IF(Q254="","",Q254)</f>
        <v/>
      </c>
      <c r="C193" s="151">
        <f ca="1">VLOOKUP(A193,DB_TBL_DATA_FIELDS[[FIELD_ID]:[PCT_CALC_FIELD_STATUS_CODE]],22,FALSE)</f>
        <v>-1</v>
      </c>
      <c r="D193" s="151" t="str">
        <f>IF(VLOOKUP(A193,DB_TBL_DATA_FIELDS[[FIELD_ID]:[ERROR_MESSAGE]],23,FALSE)&lt;&gt;0,VLOOKUP(A193,DB_TBL_DATA_FIELDS[[FIELD_ID]:[ERROR_MESSAGE]],23,FALSE),"")</f>
        <v/>
      </c>
      <c r="E193" s="151">
        <f>VLOOKUP(A193,DB_TBL_DATA_FIELDS[[#All],[FIELD_ID]:[RANGE_VALIDATION_MAX]],18,FALSE)</f>
        <v>0</v>
      </c>
      <c r="F193" s="151">
        <f>VLOOKUP(A193,DB_TBL_DATA_FIELDS[[#All],[FIELD_ID]:[RANGE_VALIDATION_MAX]],19,FALSE)</f>
        <v>200</v>
      </c>
      <c r="G193" s="151" t="str">
        <f t="shared" ca="1" si="15"/>
        <v/>
      </c>
      <c r="H193" s="128"/>
      <c r="I193" s="360"/>
      <c r="J193" s="361"/>
      <c r="K193" s="361"/>
      <c r="L193" s="361"/>
      <c r="M193" s="361"/>
      <c r="N193" s="361"/>
      <c r="O193" s="361"/>
      <c r="P193" s="361"/>
      <c r="Q193" s="361"/>
      <c r="R193" s="361"/>
      <c r="S193" s="361"/>
      <c r="T193" s="361"/>
      <c r="U193" s="361"/>
      <c r="V193" s="361"/>
      <c r="W193" s="362"/>
      <c r="X193" s="85"/>
      <c r="Y193" s="111"/>
    </row>
    <row r="194" spans="1:25" ht="22.15" customHeight="1" x14ac:dyDescent="0.3">
      <c r="A194" s="160" t="s">
        <v>217</v>
      </c>
      <c r="B194" s="152" t="str">
        <f>"C"&amp;MATCH(LEFT(A194,LEN(A194)-LEN("_RANGE")),A:A,0)+1&amp;":C"&amp;(ROW()-1)</f>
        <v>C165:C193</v>
      </c>
      <c r="C194" s="151"/>
      <c r="D194" s="151"/>
      <c r="E194" s="151"/>
      <c r="F194" s="151"/>
      <c r="G194" s="151"/>
      <c r="H194" s="128"/>
      <c r="I194" s="347"/>
      <c r="J194" s="348"/>
      <c r="K194" s="348"/>
      <c r="L194" s="348"/>
      <c r="M194" s="348"/>
      <c r="N194" s="348"/>
      <c r="O194" s="348"/>
      <c r="P194" s="348"/>
      <c r="Q194" s="348"/>
      <c r="R194" s="348"/>
      <c r="S194" s="348"/>
      <c r="T194" s="348"/>
      <c r="U194" s="348"/>
      <c r="V194" s="348"/>
      <c r="W194" s="349"/>
      <c r="X194" s="85"/>
      <c r="Y194" s="111"/>
    </row>
    <row r="195" spans="1:25" ht="22.15" customHeight="1" x14ac:dyDescent="0.3">
      <c r="A195" s="160" t="s">
        <v>218</v>
      </c>
      <c r="B195" s="152">
        <f ca="1">COUNTIF(INDIRECT($B194),2)</f>
        <v>0</v>
      </c>
      <c r="C195" s="151"/>
      <c r="D195" s="151"/>
      <c r="E195" s="151"/>
      <c r="F195" s="151"/>
      <c r="G195" s="151"/>
      <c r="H195" s="128"/>
      <c r="I195" s="110"/>
      <c r="J195" s="110"/>
      <c r="K195" s="110"/>
      <c r="L195" s="110"/>
      <c r="M195" s="110"/>
      <c r="N195" s="110"/>
      <c r="O195" s="110"/>
      <c r="P195" s="110"/>
      <c r="Q195" s="110"/>
      <c r="R195" s="110"/>
      <c r="S195" s="110"/>
      <c r="T195" s="110"/>
      <c r="U195" s="110"/>
      <c r="V195" s="110"/>
      <c r="W195" s="110"/>
      <c r="X195" s="324"/>
      <c r="Y195" s="111"/>
    </row>
    <row r="196" spans="1:25" ht="22.15" customHeight="1" thickBot="1" x14ac:dyDescent="0.35">
      <c r="A196" s="160" t="s">
        <v>219</v>
      </c>
      <c r="B196" s="152">
        <f ca="1">COUNTIF(INDIRECT($B194),0)+COUNTIF(INDIRECT($B194),1)+COUNTIF(INDIRECT($B194),2)</f>
        <v>3</v>
      </c>
      <c r="C196" s="151"/>
      <c r="D196" s="151"/>
      <c r="E196" s="151"/>
      <c r="F196" s="151"/>
      <c r="G196" s="151"/>
      <c r="H196" s="128"/>
      <c r="I196" s="226" t="s">
        <v>2818</v>
      </c>
      <c r="J196" s="229"/>
      <c r="K196" s="229"/>
      <c r="L196" s="229"/>
      <c r="M196" s="229"/>
      <c r="N196" s="229"/>
      <c r="O196" s="229"/>
      <c r="P196" s="230"/>
      <c r="Q196" s="231"/>
      <c r="R196" s="230"/>
      <c r="S196" s="231"/>
      <c r="T196" s="230"/>
      <c r="U196" s="231"/>
      <c r="V196" s="230"/>
      <c r="W196" s="231"/>
      <c r="X196" s="324"/>
      <c r="Y196" s="111"/>
    </row>
    <row r="197" spans="1:25" ht="22.15" customHeight="1" x14ac:dyDescent="0.3">
      <c r="A197" s="160" t="s">
        <v>220</v>
      </c>
      <c r="B197" s="152">
        <f ca="1">COUNTIF(INDIRECT($B194),0)</f>
        <v>0</v>
      </c>
      <c r="C197" s="151" t="s">
        <v>2300</v>
      </c>
      <c r="D197" s="151"/>
      <c r="E197" s="151"/>
      <c r="F197" s="151"/>
      <c r="G197" s="151"/>
      <c r="H197" s="128"/>
      <c r="I197" s="110"/>
      <c r="J197" s="110"/>
      <c r="K197" s="110"/>
      <c r="L197" s="110"/>
      <c r="M197" s="110"/>
      <c r="N197" s="110"/>
      <c r="O197" s="110"/>
      <c r="P197" s="110"/>
      <c r="Q197" s="110"/>
      <c r="R197" s="110"/>
      <c r="S197" s="110"/>
      <c r="T197" s="110"/>
      <c r="U197" s="110"/>
      <c r="V197" s="110"/>
      <c r="W197" s="110"/>
      <c r="X197" s="324"/>
      <c r="Y197" s="111"/>
    </row>
    <row r="198" spans="1:25" ht="22.15" customHeight="1" x14ac:dyDescent="0.3">
      <c r="A198" s="160" t="s">
        <v>221</v>
      </c>
      <c r="B198" s="161">
        <f ca="1">IFERROR(B195/B196,1.01)</f>
        <v>0</v>
      </c>
      <c r="C198" s="151"/>
      <c r="D198" s="151"/>
      <c r="E198" s="151"/>
      <c r="F198" s="151"/>
      <c r="G198" s="151"/>
      <c r="H198" s="128"/>
      <c r="I198" s="359" t="s">
        <v>2819</v>
      </c>
      <c r="J198" s="359"/>
      <c r="K198" s="359"/>
      <c r="L198" s="359"/>
      <c r="M198" s="359"/>
      <c r="N198" s="359"/>
      <c r="O198" s="359"/>
      <c r="P198" s="359"/>
      <c r="Q198" s="359"/>
      <c r="R198" s="359"/>
      <c r="S198" s="359"/>
      <c r="T198" s="359"/>
      <c r="U198" s="359"/>
      <c r="V198" s="110"/>
      <c r="W198" s="210"/>
      <c r="X198" s="96">
        <f ca="1">G149</f>
        <v>1</v>
      </c>
      <c r="Y198" s="111"/>
    </row>
    <row r="199" spans="1:25" ht="22.15" customHeight="1" x14ac:dyDescent="0.3">
      <c r="A199" s="160" t="s">
        <v>222</v>
      </c>
      <c r="B199" s="162" t="str">
        <f ca="1">IF(B197&gt;0,"Data Error(s)",IF(B198=0,"Not Started",IF(B198&lt;1,ROUNDUP(B198*100,0)&amp;"% Done",IF(B198&gt;1,"Optional","Complete"))))</f>
        <v>Not Started</v>
      </c>
      <c r="C199" s="151"/>
      <c r="D199" s="151"/>
      <c r="E199" s="151"/>
      <c r="F199" s="151"/>
      <c r="G199" s="151"/>
      <c r="H199" s="128"/>
      <c r="I199" s="359"/>
      <c r="J199" s="359"/>
      <c r="K199" s="359"/>
      <c r="L199" s="359"/>
      <c r="M199" s="359"/>
      <c r="N199" s="359"/>
      <c r="O199" s="359"/>
      <c r="P199" s="359"/>
      <c r="Q199" s="359"/>
      <c r="R199" s="359"/>
      <c r="S199" s="359"/>
      <c r="T199" s="359"/>
      <c r="U199" s="359"/>
      <c r="V199" s="110"/>
      <c r="W199" s="110"/>
      <c r="X199" s="324"/>
      <c r="Y199" s="111"/>
    </row>
    <row r="200" spans="1:25" ht="22.15" customHeight="1" x14ac:dyDescent="0.3">
      <c r="A200" s="160" t="s">
        <v>223</v>
      </c>
      <c r="B200" s="152" t="str">
        <f ca="1">IF(B197&gt;0,0,IF(B198&lt;1,"",2))</f>
        <v/>
      </c>
      <c r="C200" s="151"/>
      <c r="D200" s="151"/>
      <c r="E200" s="151"/>
      <c r="F200" s="151"/>
      <c r="G200" s="151"/>
      <c r="H200" s="128"/>
      <c r="I200" s="137" t="s">
        <v>2820</v>
      </c>
      <c r="J200" s="137"/>
      <c r="K200" s="137"/>
      <c r="L200" s="137"/>
      <c r="M200" s="137"/>
      <c r="N200" s="137"/>
      <c r="O200" s="137"/>
      <c r="P200" s="137"/>
      <c r="Q200" s="137"/>
      <c r="R200" s="137"/>
      <c r="S200" s="137"/>
      <c r="T200" s="137"/>
      <c r="U200" s="137"/>
      <c r="V200" s="110"/>
      <c r="W200" s="210"/>
      <c r="X200" s="96">
        <f ca="1">G150</f>
        <v>1</v>
      </c>
      <c r="Y200" s="111"/>
    </row>
    <row r="201" spans="1:25" ht="22.15" customHeight="1" x14ac:dyDescent="0.3">
      <c r="A201" s="160" t="s">
        <v>224</v>
      </c>
      <c r="B201" s="163" t="s">
        <v>2664</v>
      </c>
      <c r="C201" s="151"/>
      <c r="D201" s="151"/>
      <c r="E201" s="151"/>
      <c r="F201" s="151"/>
      <c r="G201" s="151"/>
      <c r="H201" s="128"/>
      <c r="I201" s="225"/>
      <c r="J201" s="225"/>
      <c r="K201" s="225"/>
      <c r="L201" s="225"/>
      <c r="M201" s="225"/>
      <c r="N201" s="225"/>
      <c r="O201" s="225"/>
      <c r="P201" s="225"/>
      <c r="Q201" s="225"/>
      <c r="R201" s="225"/>
      <c r="S201" s="225"/>
      <c r="T201" s="225"/>
      <c r="U201" s="225"/>
      <c r="V201" s="110"/>
      <c r="W201" s="110"/>
      <c r="X201" s="324"/>
      <c r="Y201" s="111"/>
    </row>
    <row r="202" spans="1:25" ht="22.15" customHeight="1" x14ac:dyDescent="0.3">
      <c r="A202" s="164" t="s">
        <v>2213</v>
      </c>
      <c r="B202" s="152">
        <v>0</v>
      </c>
      <c r="C202" s="151" t="s">
        <v>2284</v>
      </c>
      <c r="D202" s="151"/>
      <c r="E202" s="151"/>
      <c r="F202" s="151"/>
      <c r="G202" s="151"/>
      <c r="H202" s="128"/>
      <c r="I202" s="359" t="s">
        <v>2821</v>
      </c>
      <c r="J202" s="359"/>
      <c r="K202" s="359"/>
      <c r="L202" s="359"/>
      <c r="M202" s="359"/>
      <c r="N202" s="359"/>
      <c r="O202" s="359"/>
      <c r="P202" s="359"/>
      <c r="Q202" s="359"/>
      <c r="R202" s="359"/>
      <c r="S202" s="359"/>
      <c r="T202" s="359"/>
      <c r="U202" s="359"/>
      <c r="V202" s="110"/>
      <c r="W202" s="210"/>
      <c r="X202" s="96">
        <f ca="1">G151</f>
        <v>1</v>
      </c>
      <c r="Y202" s="111"/>
    </row>
    <row r="203" spans="1:25" ht="22.15" customHeight="1" x14ac:dyDescent="0.3">
      <c r="A203" s="164" t="s">
        <v>2214</v>
      </c>
      <c r="B203" s="152" t="b">
        <f>(B202&gt;0)</f>
        <v>0</v>
      </c>
      <c r="C203" s="151"/>
      <c r="D203" s="151"/>
      <c r="E203" s="151"/>
      <c r="F203" s="151"/>
      <c r="G203" s="151"/>
      <c r="H203" s="128"/>
      <c r="I203" s="359"/>
      <c r="J203" s="359"/>
      <c r="K203" s="359"/>
      <c r="L203" s="359"/>
      <c r="M203" s="359"/>
      <c r="N203" s="359"/>
      <c r="O203" s="359"/>
      <c r="P203" s="359"/>
      <c r="Q203" s="359"/>
      <c r="R203" s="359"/>
      <c r="S203" s="359"/>
      <c r="T203" s="359"/>
      <c r="U203" s="359"/>
      <c r="V203" s="110"/>
      <c r="W203" s="110"/>
      <c r="X203" s="324"/>
      <c r="Y203" s="111"/>
    </row>
    <row r="204" spans="1:25" ht="22.15" customHeight="1" x14ac:dyDescent="0.3">
      <c r="A204" s="155" t="s">
        <v>228</v>
      </c>
      <c r="B204" s="170" t="s">
        <v>2366</v>
      </c>
      <c r="C204" s="157"/>
      <c r="D204" s="157"/>
      <c r="E204" s="157"/>
      <c r="F204" s="157"/>
      <c r="G204" s="104" t="s">
        <v>2366</v>
      </c>
      <c r="H204" s="128"/>
      <c r="I204" s="137"/>
      <c r="J204" s="133"/>
      <c r="K204" s="133"/>
      <c r="L204" s="133"/>
      <c r="M204" s="133"/>
      <c r="N204" s="133"/>
      <c r="O204" s="133"/>
      <c r="P204" s="133"/>
      <c r="Q204" s="133"/>
      <c r="R204" s="133"/>
      <c r="S204" s="133"/>
      <c r="T204" s="133"/>
      <c r="U204" s="133"/>
      <c r="V204" s="110"/>
      <c r="W204" s="133"/>
      <c r="X204" s="96"/>
      <c r="Y204" s="111"/>
    </row>
    <row r="205" spans="1:25" ht="22.15" customHeight="1" x14ac:dyDescent="0.3">
      <c r="A205" s="143" t="s">
        <v>2715</v>
      </c>
      <c r="B205" s="233" t="b">
        <v>0</v>
      </c>
      <c r="C205" s="151" t="str">
        <f ca="1">VLOOKUP(A205,DB_TBL_DATA_FIELDS[[FIELD_ID]:[PCT_CALC_FIELD_STATUS_CODE]],22,FALSE)</f>
        <v/>
      </c>
      <c r="D205" s="151" t="str">
        <f>IF(VLOOKUP(A205,DB_TBL_DATA_FIELDS[[FIELD_ID]:[ERROR_MESSAGE]],23,FALSE)&lt;&gt;0,VLOOKUP(A205,DB_TBL_DATA_FIELDS[[FIELD_ID]:[ERROR_MESSAGE]],23,FALSE),"")</f>
        <v/>
      </c>
      <c r="E205" s="151">
        <f>VLOOKUP(A205,DB_TBL_DATA_FIELDS[[#All],[FIELD_ID]:[RANGE_VALIDATION_MAX]],18,FALSE)</f>
        <v>0</v>
      </c>
      <c r="F205" s="151">
        <f>VLOOKUP(A205,DB_TBL_DATA_FIELDS[[#All],[FIELD_ID]:[RANGE_VALIDATION_MAX]],19,FALSE)</f>
        <v>0</v>
      </c>
      <c r="G205" s="151" t="str">
        <f ca="1">IF(C205&lt;0,"",C205)</f>
        <v/>
      </c>
      <c r="H205" s="128"/>
      <c r="I205" s="110"/>
      <c r="J205" s="110"/>
      <c r="K205" s="110"/>
      <c r="L205" s="110"/>
      <c r="M205" s="110"/>
      <c r="N205" s="110"/>
      <c r="O205" s="110"/>
      <c r="P205" s="110"/>
      <c r="Q205" s="110"/>
      <c r="R205" s="110"/>
      <c r="S205" s="110"/>
      <c r="T205" s="110"/>
      <c r="U205" s="110"/>
      <c r="V205" s="110"/>
      <c r="W205" s="110"/>
      <c r="X205" s="324"/>
      <c r="Y205" s="111"/>
    </row>
    <row r="206" spans="1:25" ht="22.15" customHeight="1" x14ac:dyDescent="0.3">
      <c r="A206" s="143" t="s">
        <v>2720</v>
      </c>
      <c r="B206" s="165" t="str">
        <f ca="1">VLOOKUP(A206,'$DB.DATA'!C:G,5,FALSE)</f>
        <v/>
      </c>
      <c r="C206" s="151">
        <f ca="1">VLOOKUP(A206,DB_TBL_DATA_FIELDS[[FIELD_ID]:[PCT_CALC_FIELD_STATUS_CODE]],22,FALSE)</f>
        <v>1</v>
      </c>
      <c r="D206" s="151" t="str">
        <f ca="1">IF(VLOOKUP(A206,DB_TBL_DATA_FIELDS[[FIELD_ID]:[ERROR_MESSAGE]],23,FALSE)&lt;&gt;0,VLOOKUP(A206,DB_TBL_DATA_FIELDS[[FIELD_ID]:[ERROR_MESSAGE]],23,FALSE),"")</f>
        <v/>
      </c>
      <c r="E206" s="151">
        <f>VLOOKUP(A206,DB_TBL_DATA_FIELDS[[#All],[FIELD_ID]:[RANGE_VALIDATION_MAX]],18,FALSE)</f>
        <v>0</v>
      </c>
      <c r="F206" s="151">
        <f>VLOOKUP(A206,DB_TBL_DATA_FIELDS[[#All],[FIELD_ID]:[RANGE_VALIDATION_MAX]],19,FALSE)</f>
        <v>0</v>
      </c>
      <c r="G206" s="151">
        <f ca="1">IF(C206&lt;0,"",C206)</f>
        <v>1</v>
      </c>
      <c r="H206" s="128"/>
      <c r="I206" s="137" t="s">
        <v>2822</v>
      </c>
      <c r="J206" s="110"/>
      <c r="K206" s="110"/>
      <c r="L206" s="110"/>
      <c r="M206" s="110"/>
      <c r="N206" s="110"/>
      <c r="O206" s="110"/>
      <c r="P206" s="110"/>
      <c r="Q206" s="110"/>
      <c r="R206" s="110"/>
      <c r="S206" s="110"/>
      <c r="T206" s="110"/>
      <c r="U206" s="110"/>
      <c r="V206" s="110"/>
      <c r="W206" s="110"/>
      <c r="X206" s="324"/>
      <c r="Y206" s="111"/>
    </row>
    <row r="207" spans="1:25" ht="22.15" customHeight="1" x14ac:dyDescent="0.3">
      <c r="A207" s="160" t="s">
        <v>229</v>
      </c>
      <c r="B207" s="152" t="str">
        <f>"C"&amp;MATCH(LEFT(A207,LEN(A207)-LEN("_RANGE")),A:A,0)+1&amp;":C"&amp;(ROW()-1)</f>
        <v>C205:C206</v>
      </c>
      <c r="C207" s="151"/>
      <c r="D207" s="151"/>
      <c r="E207" s="151"/>
      <c r="F207" s="151"/>
      <c r="G207" s="151"/>
      <c r="H207" s="128"/>
      <c r="I207" s="137" t="s">
        <v>2823</v>
      </c>
      <c r="J207" s="110"/>
      <c r="K207" s="110"/>
      <c r="L207" s="110"/>
      <c r="M207" s="110"/>
      <c r="N207" s="110"/>
      <c r="O207" s="110"/>
      <c r="P207" s="110"/>
      <c r="Q207" s="110"/>
      <c r="R207" s="110"/>
      <c r="S207" s="110"/>
      <c r="T207" s="110"/>
      <c r="U207" s="110"/>
      <c r="V207" s="110"/>
      <c r="W207" s="211" t="str">
        <f>SUBSTITUTE(SUBSTITUTE(SUBSTITUTE(IF(LEN(B153)&gt;F153,CONFIG_CHAR_LIMIT_TEMPLATE_ERR,CONFIG_CHAR_LIMIT_TEMPLATE),"[diff]",ABS(LEN(B153)-F153)),"[limit]",F153),"[used]",LEN(B153))</f>
        <v>1000 character(s) remaining</v>
      </c>
      <c r="X207" s="324"/>
      <c r="Y207" s="111"/>
    </row>
    <row r="208" spans="1:25" ht="22.15" customHeight="1" x14ac:dyDescent="0.3">
      <c r="A208" s="160" t="s">
        <v>230</v>
      </c>
      <c r="B208" s="152">
        <f ca="1">COUNTIF(INDIRECT($B207),2)</f>
        <v>0</v>
      </c>
      <c r="C208" s="151"/>
      <c r="D208" s="151"/>
      <c r="E208" s="151"/>
      <c r="F208" s="151"/>
      <c r="G208" s="151"/>
      <c r="H208" s="128"/>
      <c r="I208" s="344"/>
      <c r="J208" s="345"/>
      <c r="K208" s="345"/>
      <c r="L208" s="345"/>
      <c r="M208" s="345"/>
      <c r="N208" s="345"/>
      <c r="O208" s="345"/>
      <c r="P208" s="345"/>
      <c r="Q208" s="345"/>
      <c r="R208" s="345"/>
      <c r="S208" s="345"/>
      <c r="T208" s="345"/>
      <c r="U208" s="345"/>
      <c r="V208" s="345"/>
      <c r="W208" s="346"/>
      <c r="X208" s="96" t="str">
        <f ca="1">G153</f>
        <v/>
      </c>
      <c r="Y208" s="111"/>
    </row>
    <row r="209" spans="1:25" ht="22.15" customHeight="1" x14ac:dyDescent="0.3">
      <c r="A209" s="160" t="s">
        <v>231</v>
      </c>
      <c r="B209" s="152">
        <f ca="1">COUNTIF(INDIRECT($B207),0)+COUNTIF(INDIRECT($B207),1)+COUNTIF(INDIRECT($B207),2)</f>
        <v>1</v>
      </c>
      <c r="C209" s="151"/>
      <c r="D209" s="151"/>
      <c r="E209" s="151"/>
      <c r="F209" s="151"/>
      <c r="G209" s="151"/>
      <c r="H209" s="128"/>
      <c r="I209" s="360"/>
      <c r="J209" s="361"/>
      <c r="K209" s="361"/>
      <c r="L209" s="361"/>
      <c r="M209" s="361"/>
      <c r="N209" s="361"/>
      <c r="O209" s="361"/>
      <c r="P209" s="361"/>
      <c r="Q209" s="361"/>
      <c r="R209" s="361"/>
      <c r="S209" s="361"/>
      <c r="T209" s="361"/>
      <c r="U209" s="361"/>
      <c r="V209" s="361"/>
      <c r="W209" s="362"/>
      <c r="X209" s="324"/>
      <c r="Y209" s="111"/>
    </row>
    <row r="210" spans="1:25" ht="22.15" customHeight="1" x14ac:dyDescent="0.3">
      <c r="A210" s="160" t="s">
        <v>232</v>
      </c>
      <c r="B210" s="152">
        <f ca="1">COUNTIF(INDIRECT($B207),0)</f>
        <v>0</v>
      </c>
      <c r="C210" s="151" t="s">
        <v>2300</v>
      </c>
      <c r="D210" s="151"/>
      <c r="E210" s="151"/>
      <c r="F210" s="151"/>
      <c r="G210" s="151"/>
      <c r="H210" s="128"/>
      <c r="I210" s="360"/>
      <c r="J210" s="361"/>
      <c r="K210" s="361"/>
      <c r="L210" s="361"/>
      <c r="M210" s="361"/>
      <c r="N210" s="361"/>
      <c r="O210" s="361"/>
      <c r="P210" s="361"/>
      <c r="Q210" s="361"/>
      <c r="R210" s="361"/>
      <c r="S210" s="361"/>
      <c r="T210" s="361"/>
      <c r="U210" s="361"/>
      <c r="V210" s="361"/>
      <c r="W210" s="362"/>
      <c r="X210" s="324"/>
      <c r="Y210" s="111"/>
    </row>
    <row r="211" spans="1:25" ht="22.15" customHeight="1" x14ac:dyDescent="0.3">
      <c r="A211" s="160" t="s">
        <v>233</v>
      </c>
      <c r="B211" s="161">
        <f ca="1">IFERROR(B208/B209,1.01)</f>
        <v>0</v>
      </c>
      <c r="C211" s="151"/>
      <c r="D211" s="151"/>
      <c r="E211" s="151"/>
      <c r="F211" s="151"/>
      <c r="G211" s="151"/>
      <c r="H211" s="128"/>
      <c r="I211" s="360"/>
      <c r="J211" s="361"/>
      <c r="K211" s="361"/>
      <c r="L211" s="361"/>
      <c r="M211" s="361"/>
      <c r="N211" s="361"/>
      <c r="O211" s="361"/>
      <c r="P211" s="361"/>
      <c r="Q211" s="361"/>
      <c r="R211" s="361"/>
      <c r="S211" s="361"/>
      <c r="T211" s="361"/>
      <c r="U211" s="361"/>
      <c r="V211" s="361"/>
      <c r="W211" s="362"/>
      <c r="X211" s="324"/>
      <c r="Y211" s="111"/>
    </row>
    <row r="212" spans="1:25" ht="22.15" customHeight="1" x14ac:dyDescent="0.3">
      <c r="A212" s="160" t="s">
        <v>234</v>
      </c>
      <c r="B212" s="162" t="str">
        <f ca="1">IF(B210&gt;0,"Data Error(s)",IF(B211=0,"Not Started",IF(B211&lt;1,ROUNDUP(B211*100,0)&amp;"% Done",IF(B211&gt;1,"Optional","Complete"))))</f>
        <v>Not Started</v>
      </c>
      <c r="C212" s="151"/>
      <c r="D212" s="151"/>
      <c r="E212" s="151"/>
      <c r="F212" s="151"/>
      <c r="G212" s="151"/>
      <c r="H212" s="128"/>
      <c r="I212" s="360"/>
      <c r="J212" s="361"/>
      <c r="K212" s="361"/>
      <c r="L212" s="361"/>
      <c r="M212" s="361"/>
      <c r="N212" s="361"/>
      <c r="O212" s="361"/>
      <c r="P212" s="361"/>
      <c r="Q212" s="361"/>
      <c r="R212" s="361"/>
      <c r="S212" s="361"/>
      <c r="T212" s="361"/>
      <c r="U212" s="361"/>
      <c r="V212" s="361"/>
      <c r="W212" s="362"/>
      <c r="X212" s="324"/>
      <c r="Y212" s="111"/>
    </row>
    <row r="213" spans="1:25" ht="22.15" customHeight="1" x14ac:dyDescent="0.3">
      <c r="A213" s="160" t="s">
        <v>235</v>
      </c>
      <c r="B213" s="152" t="str">
        <f ca="1">IF(B210&gt;0,0,IF(B211&lt;1,"",2))</f>
        <v/>
      </c>
      <c r="C213" s="151"/>
      <c r="D213" s="151"/>
      <c r="E213" s="151"/>
      <c r="F213" s="151"/>
      <c r="G213" s="151"/>
      <c r="H213" s="128"/>
      <c r="I213" s="347"/>
      <c r="J213" s="348"/>
      <c r="K213" s="348"/>
      <c r="L213" s="348"/>
      <c r="M213" s="348"/>
      <c r="N213" s="348"/>
      <c r="O213" s="348"/>
      <c r="P213" s="348"/>
      <c r="Q213" s="348"/>
      <c r="R213" s="348"/>
      <c r="S213" s="348"/>
      <c r="T213" s="348"/>
      <c r="U213" s="348"/>
      <c r="V213" s="348"/>
      <c r="W213" s="349"/>
      <c r="X213" s="324"/>
      <c r="Y213" s="111"/>
    </row>
    <row r="214" spans="1:25" ht="22.15" customHeight="1" x14ac:dyDescent="0.3">
      <c r="A214" s="160" t="s">
        <v>236</v>
      </c>
      <c r="B214" s="163" t="s">
        <v>2366</v>
      </c>
      <c r="C214" s="151"/>
      <c r="D214" s="151"/>
      <c r="E214" s="151"/>
      <c r="F214" s="151"/>
      <c r="G214" s="151"/>
      <c r="H214" s="128"/>
      <c r="I214" s="110"/>
      <c r="J214" s="110"/>
      <c r="K214" s="110"/>
      <c r="L214" s="110"/>
      <c r="M214" s="110"/>
      <c r="N214" s="110"/>
      <c r="O214" s="110"/>
      <c r="P214" s="110"/>
      <c r="Q214" s="110"/>
      <c r="R214" s="110"/>
      <c r="S214" s="110"/>
      <c r="T214" s="110"/>
      <c r="U214" s="110"/>
      <c r="V214" s="110"/>
      <c r="W214" s="110"/>
      <c r="X214" s="324"/>
      <c r="Y214" s="111"/>
    </row>
    <row r="215" spans="1:25" ht="22.15" customHeight="1" thickBot="1" x14ac:dyDescent="0.35">
      <c r="A215" s="164" t="s">
        <v>2211</v>
      </c>
      <c r="B215" s="152">
        <v>0</v>
      </c>
      <c r="C215" s="151" t="s">
        <v>2284</v>
      </c>
      <c r="D215" s="151"/>
      <c r="E215" s="151"/>
      <c r="F215" s="151"/>
      <c r="G215" s="151"/>
      <c r="H215" s="128"/>
      <c r="I215" s="81" t="str">
        <f>B164</f>
        <v>Project Use of Funds</v>
      </c>
      <c r="J215" s="140"/>
      <c r="K215" s="140"/>
      <c r="L215" s="140"/>
      <c r="M215" s="140"/>
      <c r="N215" s="140"/>
      <c r="O215" s="140"/>
      <c r="P215" s="140"/>
      <c r="Q215" s="140"/>
      <c r="R215" s="140"/>
      <c r="S215" s="140"/>
      <c r="T215" s="140"/>
      <c r="U215" s="140"/>
      <c r="V215" s="140"/>
      <c r="W215" s="140"/>
      <c r="X215" s="98" t="str">
        <f ca="1">"Status: "&amp;$B$199</f>
        <v>Status: Not Started</v>
      </c>
      <c r="Y215" s="111"/>
    </row>
    <row r="216" spans="1:25" ht="22.15" customHeight="1" x14ac:dyDescent="0.3">
      <c r="A216" s="164" t="s">
        <v>2212</v>
      </c>
      <c r="B216" s="152" t="b">
        <f>(B215&gt;0)</f>
        <v>0</v>
      </c>
      <c r="C216" s="151"/>
      <c r="D216" s="151"/>
      <c r="E216" s="151"/>
      <c r="F216" s="151"/>
      <c r="G216" s="151"/>
      <c r="H216" s="128"/>
      <c r="I216" s="110"/>
      <c r="J216" s="110"/>
      <c r="K216" s="110"/>
      <c r="L216" s="110"/>
      <c r="M216" s="110"/>
      <c r="N216" s="110"/>
      <c r="O216" s="110"/>
      <c r="P216" s="85"/>
      <c r="Q216" s="111"/>
      <c r="R216" s="85"/>
      <c r="S216" s="111"/>
      <c r="T216" s="85"/>
      <c r="U216" s="111"/>
      <c r="V216" s="85"/>
      <c r="W216" s="111"/>
      <c r="X216" s="85"/>
      <c r="Y216" s="111"/>
    </row>
    <row r="217" spans="1:25" ht="22.15" customHeight="1" x14ac:dyDescent="0.3">
      <c r="A217" s="166"/>
      <c r="B217" s="167"/>
      <c r="C217" s="166"/>
      <c r="D217" s="166"/>
      <c r="E217" s="166"/>
      <c r="F217" s="166"/>
      <c r="G217" s="166"/>
      <c r="H217" s="128"/>
      <c r="I217" s="351" t="s">
        <v>2700</v>
      </c>
      <c r="J217" s="351"/>
      <c r="K217" s="351"/>
      <c r="L217" s="351"/>
      <c r="M217" s="351"/>
      <c r="N217" s="351"/>
      <c r="O217" s="351"/>
      <c r="P217" s="351"/>
      <c r="Q217" s="351"/>
      <c r="R217" s="351"/>
      <c r="S217" s="351"/>
      <c r="T217" s="351"/>
      <c r="U217" s="351"/>
      <c r="V217" s="351"/>
      <c r="W217" s="351"/>
      <c r="X217" s="85"/>
      <c r="Y217" s="111"/>
    </row>
    <row r="218" spans="1:25" ht="22.15" customHeight="1" x14ac:dyDescent="0.3">
      <c r="A218" s="166"/>
      <c r="B218" s="167"/>
      <c r="C218" s="166"/>
      <c r="D218" s="166"/>
      <c r="E218" s="166"/>
      <c r="F218" s="166"/>
      <c r="G218" s="166"/>
      <c r="H218" s="128"/>
      <c r="I218" s="351"/>
      <c r="J218" s="351"/>
      <c r="K218" s="351"/>
      <c r="L218" s="351"/>
      <c r="M218" s="351"/>
      <c r="N218" s="351"/>
      <c r="O218" s="351"/>
      <c r="P218" s="351"/>
      <c r="Q218" s="351"/>
      <c r="R218" s="351"/>
      <c r="S218" s="351"/>
      <c r="T218" s="351"/>
      <c r="U218" s="351"/>
      <c r="V218" s="351"/>
      <c r="W218" s="351"/>
      <c r="X218" s="85"/>
      <c r="Y218" s="111"/>
    </row>
    <row r="219" spans="1:25" ht="22.15" customHeight="1" x14ac:dyDescent="0.3">
      <c r="H219" s="128"/>
      <c r="I219" s="122" t="s">
        <v>2701</v>
      </c>
      <c r="J219" s="122"/>
      <c r="K219" s="122"/>
      <c r="L219" s="122"/>
      <c r="M219" s="122"/>
      <c r="N219" s="122"/>
      <c r="O219" s="122"/>
      <c r="P219" s="122"/>
      <c r="Q219" s="122"/>
      <c r="R219" s="122"/>
      <c r="S219" s="122"/>
      <c r="T219" s="122"/>
      <c r="U219" s="122"/>
      <c r="V219" s="85"/>
      <c r="W219" s="210"/>
      <c r="X219" s="96">
        <f ca="1">G165</f>
        <v>1</v>
      </c>
      <c r="Y219" s="111"/>
    </row>
    <row r="220" spans="1:25" ht="22.15" customHeight="1" x14ac:dyDescent="0.3">
      <c r="H220" s="128"/>
      <c r="I220" s="111"/>
      <c r="J220" s="85"/>
      <c r="K220" s="111"/>
      <c r="L220" s="85"/>
      <c r="M220" s="111"/>
      <c r="N220" s="85"/>
      <c r="O220" s="111"/>
      <c r="P220" s="85"/>
      <c r="Q220" s="111"/>
      <c r="R220" s="85"/>
      <c r="S220" s="111"/>
      <c r="T220" s="85"/>
      <c r="U220" s="111"/>
      <c r="V220" s="85"/>
      <c r="W220" s="111"/>
      <c r="X220" s="85"/>
      <c r="Y220" s="111"/>
    </row>
    <row r="221" spans="1:25" ht="22.15" customHeight="1" x14ac:dyDescent="0.3">
      <c r="H221" s="128"/>
      <c r="I221" s="111" t="s">
        <v>2847</v>
      </c>
      <c r="J221" s="85"/>
      <c r="K221" s="111"/>
      <c r="L221" s="85"/>
      <c r="M221" s="111"/>
      <c r="N221" s="85"/>
      <c r="O221" s="111"/>
      <c r="P221" s="85"/>
      <c r="Q221" s="111"/>
      <c r="R221" s="85"/>
      <c r="S221" s="111"/>
      <c r="T221" s="85"/>
      <c r="U221" s="111"/>
      <c r="V221" s="85"/>
      <c r="W221" s="111"/>
      <c r="X221" s="85"/>
      <c r="Y221" s="111"/>
    </row>
    <row r="222" spans="1:25" ht="22.15" customHeight="1" x14ac:dyDescent="0.3">
      <c r="H222" s="128"/>
      <c r="I222" s="122" t="s">
        <v>2848</v>
      </c>
      <c r="J222" s="85"/>
      <c r="K222" s="111"/>
      <c r="L222" s="85"/>
      <c r="M222" s="111"/>
      <c r="N222" s="85"/>
      <c r="O222" s="111"/>
      <c r="P222" s="85"/>
      <c r="Q222" s="111"/>
      <c r="R222" s="85"/>
      <c r="S222" s="111"/>
      <c r="T222" s="85"/>
      <c r="U222" s="111"/>
      <c r="V222" s="85"/>
      <c r="W222" s="211" t="str">
        <f>SUBSTITUTE(SUBSTITUTE(SUBSTITUTE(IF(LEN(B166)&gt;F166,CONFIG_CHAR_LIMIT_TEMPLATE_ERR,CONFIG_CHAR_LIMIT_TEMPLATE),"[diff]",ABS(LEN(B166)-F166)),"[limit]",F166),"[used]",LEN(B166))</f>
        <v>1000 character(s) remaining</v>
      </c>
      <c r="X222" s="85"/>
      <c r="Y222" s="111"/>
    </row>
    <row r="223" spans="1:25" ht="22.15" customHeight="1" x14ac:dyDescent="0.3">
      <c r="H223" s="128"/>
      <c r="I223" s="344"/>
      <c r="J223" s="345"/>
      <c r="K223" s="345"/>
      <c r="L223" s="345"/>
      <c r="M223" s="345"/>
      <c r="N223" s="345"/>
      <c r="O223" s="345"/>
      <c r="P223" s="345"/>
      <c r="Q223" s="345"/>
      <c r="R223" s="345"/>
      <c r="S223" s="345"/>
      <c r="T223" s="345"/>
      <c r="U223" s="345"/>
      <c r="V223" s="345"/>
      <c r="W223" s="346"/>
      <c r="X223" s="96">
        <f ca="1">G166</f>
        <v>1</v>
      </c>
      <c r="Y223" s="111"/>
    </row>
    <row r="224" spans="1:25" ht="22.15" customHeight="1" x14ac:dyDescent="0.3">
      <c r="H224" s="128"/>
      <c r="I224" s="360"/>
      <c r="J224" s="361"/>
      <c r="K224" s="361"/>
      <c r="L224" s="361"/>
      <c r="M224" s="361"/>
      <c r="N224" s="361"/>
      <c r="O224" s="361"/>
      <c r="P224" s="361"/>
      <c r="Q224" s="361"/>
      <c r="R224" s="361"/>
      <c r="S224" s="361"/>
      <c r="T224" s="361"/>
      <c r="U224" s="361"/>
      <c r="V224" s="361"/>
      <c r="W224" s="362"/>
      <c r="X224" s="85"/>
      <c r="Y224" s="111"/>
    </row>
    <row r="225" spans="8:25" ht="22.15" customHeight="1" x14ac:dyDescent="0.3">
      <c r="H225" s="128"/>
      <c r="I225" s="360"/>
      <c r="J225" s="361"/>
      <c r="K225" s="361"/>
      <c r="L225" s="361"/>
      <c r="M225" s="361"/>
      <c r="N225" s="361"/>
      <c r="O225" s="361"/>
      <c r="P225" s="361"/>
      <c r="Q225" s="361"/>
      <c r="R225" s="361"/>
      <c r="S225" s="361"/>
      <c r="T225" s="361"/>
      <c r="U225" s="361"/>
      <c r="V225" s="361"/>
      <c r="W225" s="362"/>
      <c r="X225" s="85"/>
      <c r="Y225" s="111"/>
    </row>
    <row r="226" spans="8:25" ht="22.15" customHeight="1" x14ac:dyDescent="0.3">
      <c r="H226" s="128"/>
      <c r="I226" s="360"/>
      <c r="J226" s="361"/>
      <c r="K226" s="361"/>
      <c r="L226" s="361"/>
      <c r="M226" s="361"/>
      <c r="N226" s="361"/>
      <c r="O226" s="361"/>
      <c r="P226" s="361"/>
      <c r="Q226" s="361"/>
      <c r="R226" s="361"/>
      <c r="S226" s="361"/>
      <c r="T226" s="361"/>
      <c r="U226" s="361"/>
      <c r="V226" s="361"/>
      <c r="W226" s="362"/>
      <c r="X226" s="319"/>
      <c r="Y226" s="111"/>
    </row>
    <row r="227" spans="8:25" ht="22.15" customHeight="1" x14ac:dyDescent="0.3">
      <c r="H227" s="128"/>
      <c r="I227" s="360"/>
      <c r="J227" s="361"/>
      <c r="K227" s="361"/>
      <c r="L227" s="361"/>
      <c r="M227" s="361"/>
      <c r="N227" s="361"/>
      <c r="O227" s="361"/>
      <c r="P227" s="361"/>
      <c r="Q227" s="361"/>
      <c r="R227" s="361"/>
      <c r="S227" s="361"/>
      <c r="T227" s="361"/>
      <c r="U227" s="361"/>
      <c r="V227" s="361"/>
      <c r="W227" s="362"/>
      <c r="X227" s="319"/>
      <c r="Y227" s="111"/>
    </row>
    <row r="228" spans="8:25" ht="22.15" customHeight="1" x14ac:dyDescent="0.3">
      <c r="H228" s="128"/>
      <c r="I228" s="347"/>
      <c r="J228" s="348"/>
      <c r="K228" s="348"/>
      <c r="L228" s="348"/>
      <c r="M228" s="348"/>
      <c r="N228" s="348"/>
      <c r="O228" s="348"/>
      <c r="P228" s="348"/>
      <c r="Q228" s="348"/>
      <c r="R228" s="348"/>
      <c r="S228" s="348"/>
      <c r="T228" s="348"/>
      <c r="U228" s="348"/>
      <c r="V228" s="348"/>
      <c r="W228" s="349"/>
      <c r="X228" s="319"/>
      <c r="Y228" s="111"/>
    </row>
    <row r="229" spans="8:25" ht="22.15" customHeight="1" x14ac:dyDescent="0.3">
      <c r="H229" s="128"/>
      <c r="I229" s="111"/>
      <c r="J229" s="85"/>
      <c r="K229" s="111"/>
      <c r="L229" s="85"/>
      <c r="M229" s="111"/>
      <c r="N229" s="85"/>
      <c r="O229" s="111"/>
      <c r="P229" s="85"/>
      <c r="Q229" s="111"/>
      <c r="R229" s="85"/>
      <c r="S229" s="111"/>
      <c r="T229" s="85"/>
      <c r="U229" s="111"/>
      <c r="V229" s="85"/>
      <c r="W229" s="111"/>
      <c r="X229" s="85"/>
      <c r="Y229" s="111"/>
    </row>
    <row r="230" spans="8:25" ht="22.15" customHeight="1" x14ac:dyDescent="0.3">
      <c r="H230" s="128"/>
      <c r="I230" s="235" t="s">
        <v>2702</v>
      </c>
      <c r="J230" s="236"/>
      <c r="K230" s="236"/>
      <c r="L230" s="236"/>
      <c r="M230" s="236"/>
      <c r="N230" s="236"/>
      <c r="O230" s="236"/>
      <c r="P230" s="237"/>
      <c r="Q230" s="238"/>
      <c r="R230" s="237"/>
      <c r="S230" s="238"/>
      <c r="T230" s="237"/>
      <c r="U230" s="238"/>
      <c r="V230" s="237"/>
      <c r="W230" s="238"/>
      <c r="X230" s="85"/>
      <c r="Y230" s="111"/>
    </row>
    <row r="231" spans="8:25" ht="22.15" customHeight="1" x14ac:dyDescent="0.3">
      <c r="H231" s="128"/>
      <c r="I231" s="234" t="s">
        <v>2703</v>
      </c>
      <c r="J231" s="85"/>
      <c r="K231" s="111"/>
      <c r="L231" s="85"/>
      <c r="M231" s="111"/>
      <c r="N231" s="85"/>
      <c r="O231" s="111"/>
      <c r="P231" s="85"/>
      <c r="Q231" s="111"/>
      <c r="R231" s="85"/>
      <c r="S231" s="111"/>
      <c r="T231" s="85"/>
      <c r="U231" s="111"/>
      <c r="V231" s="85"/>
      <c r="W231" s="111"/>
      <c r="X231" s="85"/>
      <c r="Y231" s="111"/>
    </row>
    <row r="232" spans="8:25" ht="22.15" customHeight="1" x14ac:dyDescent="0.3">
      <c r="H232" s="128"/>
      <c r="I232" s="111"/>
      <c r="J232" s="85"/>
      <c r="K232" s="111"/>
      <c r="L232" s="85"/>
      <c r="M232" s="111"/>
      <c r="N232" s="85"/>
      <c r="O232" s="111"/>
      <c r="P232" s="85"/>
      <c r="Q232" s="111"/>
      <c r="R232" s="85"/>
      <c r="S232" s="135" t="s">
        <v>2704</v>
      </c>
      <c r="T232" s="85"/>
      <c r="U232" s="352"/>
      <c r="V232" s="353"/>
      <c r="W232" s="354"/>
      <c r="X232" s="96" t="str">
        <f ca="1">G168</f>
        <v/>
      </c>
      <c r="Y232" s="111"/>
    </row>
    <row r="233" spans="8:25" ht="22.15" customHeight="1" x14ac:dyDescent="0.3">
      <c r="H233" s="128"/>
      <c r="I233" s="111"/>
      <c r="J233" s="85"/>
      <c r="K233" s="111"/>
      <c r="L233" s="85"/>
      <c r="M233" s="111"/>
      <c r="N233" s="85"/>
      <c r="O233" s="111"/>
      <c r="P233" s="85"/>
      <c r="Q233" s="111"/>
      <c r="R233" s="85"/>
      <c r="S233" s="135" t="s">
        <v>2705</v>
      </c>
      <c r="T233" s="85"/>
      <c r="U233" s="352"/>
      <c r="V233" s="353"/>
      <c r="W233" s="354"/>
      <c r="X233" s="96" t="str">
        <f ca="1">G170</f>
        <v/>
      </c>
      <c r="Y233" s="111"/>
    </row>
    <row r="234" spans="8:25" ht="22.15" customHeight="1" x14ac:dyDescent="0.3">
      <c r="H234" s="128"/>
      <c r="I234" s="111"/>
      <c r="J234" s="85"/>
      <c r="K234" s="111"/>
      <c r="L234" s="85"/>
      <c r="M234" s="111"/>
      <c r="N234" s="85"/>
      <c r="O234" s="111"/>
      <c r="P234" s="85"/>
      <c r="Q234" s="111"/>
      <c r="R234" s="85"/>
      <c r="S234" s="111"/>
      <c r="T234" s="85"/>
      <c r="U234" s="111"/>
      <c r="V234" s="85"/>
      <c r="W234" s="111"/>
      <c r="X234" s="85"/>
      <c r="Y234" s="111"/>
    </row>
    <row r="235" spans="8:25" ht="22.15" customHeight="1" x14ac:dyDescent="0.3">
      <c r="H235" s="128"/>
      <c r="I235" s="235" t="s">
        <v>2706</v>
      </c>
      <c r="J235" s="236"/>
      <c r="K235" s="236"/>
      <c r="L235" s="236"/>
      <c r="M235" s="236"/>
      <c r="N235" s="236"/>
      <c r="O235" s="236"/>
      <c r="P235" s="237"/>
      <c r="Q235" s="238"/>
      <c r="R235" s="237"/>
      <c r="S235" s="238"/>
      <c r="T235" s="237"/>
      <c r="U235" s="238"/>
      <c r="V235" s="237"/>
      <c r="W235" s="238"/>
      <c r="X235" s="85"/>
      <c r="Y235" s="111"/>
    </row>
    <row r="236" spans="8:25" ht="22.15" customHeight="1" x14ac:dyDescent="0.3">
      <c r="H236" s="128"/>
      <c r="I236" s="111"/>
      <c r="J236" s="85"/>
      <c r="K236" s="111"/>
      <c r="L236" s="85"/>
      <c r="M236" s="111"/>
      <c r="N236" s="85"/>
      <c r="O236" s="111"/>
      <c r="P236" s="85"/>
      <c r="Q236" s="111"/>
      <c r="R236" s="85"/>
      <c r="S236" s="111"/>
      <c r="T236" s="85"/>
      <c r="U236" s="111"/>
      <c r="V236" s="85"/>
      <c r="W236" s="111"/>
      <c r="X236" s="85"/>
      <c r="Y236" s="111"/>
    </row>
    <row r="237" spans="8:25" ht="22.15" customHeight="1" x14ac:dyDescent="0.3">
      <c r="H237" s="128"/>
      <c r="I237" s="137" t="s">
        <v>2707</v>
      </c>
      <c r="J237" s="110"/>
      <c r="K237" s="133"/>
      <c r="L237" s="110"/>
      <c r="M237" s="133"/>
      <c r="N237" s="110"/>
      <c r="O237" s="133"/>
      <c r="P237" s="85"/>
      <c r="Q237" s="111"/>
      <c r="R237" s="85"/>
      <c r="S237" s="111"/>
      <c r="T237" s="85"/>
      <c r="U237" s="111"/>
      <c r="V237" s="85"/>
      <c r="W237" s="111"/>
      <c r="X237" s="85"/>
      <c r="Y237" s="111"/>
    </row>
    <row r="238" spans="8:25" ht="22.15" customHeight="1" x14ac:dyDescent="0.3">
      <c r="H238" s="128"/>
      <c r="I238" s="344"/>
      <c r="J238" s="345"/>
      <c r="K238" s="345"/>
      <c r="L238" s="345"/>
      <c r="M238" s="345"/>
      <c r="N238" s="345"/>
      <c r="O238" s="345"/>
      <c r="P238" s="345"/>
      <c r="Q238" s="345"/>
      <c r="R238" s="345"/>
      <c r="S238" s="345"/>
      <c r="T238" s="345"/>
      <c r="U238" s="345"/>
      <c r="V238" s="345"/>
      <c r="W238" s="346"/>
      <c r="X238" s="96" t="str">
        <f ca="1">G172</f>
        <v/>
      </c>
      <c r="Y238" s="111"/>
    </row>
    <row r="239" spans="8:25" ht="22.15" customHeight="1" x14ac:dyDescent="0.3">
      <c r="H239" s="128"/>
      <c r="I239" s="347"/>
      <c r="J239" s="348"/>
      <c r="K239" s="348"/>
      <c r="L239" s="348"/>
      <c r="M239" s="348"/>
      <c r="N239" s="348"/>
      <c r="O239" s="348"/>
      <c r="P239" s="348"/>
      <c r="Q239" s="348"/>
      <c r="R239" s="348"/>
      <c r="S239" s="348"/>
      <c r="T239" s="348"/>
      <c r="U239" s="348"/>
      <c r="V239" s="348"/>
      <c r="W239" s="349"/>
      <c r="X239" s="85"/>
      <c r="Y239" s="111"/>
    </row>
    <row r="240" spans="8:25" ht="22.15" customHeight="1" x14ac:dyDescent="0.3">
      <c r="H240" s="128"/>
      <c r="I240" s="111"/>
      <c r="J240" s="85"/>
      <c r="K240" s="111"/>
      <c r="L240" s="85"/>
      <c r="M240" s="111"/>
      <c r="N240" s="85"/>
      <c r="O240" s="111"/>
      <c r="P240" s="85"/>
      <c r="Q240" s="111"/>
      <c r="R240" s="85"/>
      <c r="S240" s="111"/>
      <c r="T240" s="85"/>
      <c r="U240" s="111"/>
      <c r="V240" s="85"/>
      <c r="W240" s="111"/>
      <c r="X240" s="85"/>
      <c r="Y240" s="111"/>
    </row>
    <row r="241" spans="8:25" ht="22.15" customHeight="1" x14ac:dyDescent="0.3">
      <c r="H241" s="128"/>
      <c r="I241" s="122" t="s">
        <v>2849</v>
      </c>
      <c r="J241" s="85"/>
      <c r="K241" s="111"/>
      <c r="L241" s="85"/>
      <c r="M241" s="111"/>
      <c r="N241" s="85"/>
      <c r="O241" s="111"/>
      <c r="P241" s="85"/>
      <c r="Q241" s="111"/>
      <c r="R241" s="85"/>
      <c r="S241" s="111"/>
      <c r="T241" s="85"/>
      <c r="U241" s="111"/>
      <c r="V241" s="85"/>
      <c r="W241" s="111"/>
      <c r="X241" s="85"/>
      <c r="Y241" s="111"/>
    </row>
    <row r="242" spans="8:25" ht="22.15" customHeight="1" x14ac:dyDescent="0.3">
      <c r="H242" s="128"/>
      <c r="I242" s="341" t="s">
        <v>2708</v>
      </c>
      <c r="J242" s="342"/>
      <c r="K242" s="342"/>
      <c r="L242" s="342"/>
      <c r="M242" s="342"/>
      <c r="N242" s="342"/>
      <c r="O242" s="342"/>
      <c r="P242" s="342"/>
      <c r="Q242" s="342"/>
      <c r="R242" s="343"/>
      <c r="S242" s="409" t="s">
        <v>2709</v>
      </c>
      <c r="T242" s="410"/>
      <c r="U242" s="410"/>
      <c r="V242" s="411"/>
      <c r="W242" s="350" t="s">
        <v>2710</v>
      </c>
      <c r="X242" s="350"/>
      <c r="Y242" s="111"/>
    </row>
    <row r="243" spans="8:25" ht="22.15" customHeight="1" x14ac:dyDescent="0.3">
      <c r="H243" s="128"/>
      <c r="I243" s="339"/>
      <c r="J243" s="340"/>
      <c r="K243" s="340"/>
      <c r="L243" s="340"/>
      <c r="M243" s="340"/>
      <c r="N243" s="340"/>
      <c r="O243" s="340"/>
      <c r="P243" s="340"/>
      <c r="Q243" s="340"/>
      <c r="R243" s="215" t="str">
        <f ca="1">G173</f>
        <v/>
      </c>
      <c r="S243" s="412"/>
      <c r="T243" s="413"/>
      <c r="U243" s="413"/>
      <c r="V243" s="215" t="str">
        <f ca="1">G174</f>
        <v/>
      </c>
      <c r="W243" s="239"/>
      <c r="X243" s="215" t="str">
        <f ca="1">G175</f>
        <v/>
      </c>
      <c r="Y243" s="111"/>
    </row>
    <row r="244" spans="8:25" ht="22.15" customHeight="1" x14ac:dyDescent="0.3">
      <c r="H244" s="128"/>
      <c r="I244" s="339"/>
      <c r="J244" s="340"/>
      <c r="K244" s="340"/>
      <c r="L244" s="340"/>
      <c r="M244" s="340"/>
      <c r="N244" s="340"/>
      <c r="O244" s="340"/>
      <c r="P244" s="340"/>
      <c r="Q244" s="340"/>
      <c r="R244" s="215" t="str">
        <f ca="1">G176</f>
        <v/>
      </c>
      <c r="S244" s="412"/>
      <c r="T244" s="413"/>
      <c r="U244" s="413"/>
      <c r="V244" s="215" t="str">
        <f ca="1">G177</f>
        <v/>
      </c>
      <c r="W244" s="239"/>
      <c r="X244" s="215" t="str">
        <f ca="1">G178</f>
        <v/>
      </c>
      <c r="Y244" s="111"/>
    </row>
    <row r="245" spans="8:25" ht="22.15" customHeight="1" x14ac:dyDescent="0.3">
      <c r="H245" s="128"/>
      <c r="I245" s="339"/>
      <c r="J245" s="340"/>
      <c r="K245" s="340"/>
      <c r="L245" s="340"/>
      <c r="M245" s="340"/>
      <c r="N245" s="340"/>
      <c r="O245" s="340"/>
      <c r="P245" s="340"/>
      <c r="Q245" s="340"/>
      <c r="R245" s="215" t="str">
        <f ca="1">G179</f>
        <v/>
      </c>
      <c r="S245" s="412"/>
      <c r="T245" s="413"/>
      <c r="U245" s="413"/>
      <c r="V245" s="215" t="str">
        <f ca="1">G180</f>
        <v/>
      </c>
      <c r="W245" s="239"/>
      <c r="X245" s="215" t="str">
        <f ca="1">G181</f>
        <v/>
      </c>
      <c r="Y245" s="111"/>
    </row>
    <row r="246" spans="8:25" ht="22.15" customHeight="1" x14ac:dyDescent="0.3">
      <c r="H246" s="128"/>
      <c r="I246" s="339"/>
      <c r="J246" s="340"/>
      <c r="K246" s="340"/>
      <c r="L246" s="340"/>
      <c r="M246" s="340"/>
      <c r="N246" s="340"/>
      <c r="O246" s="340"/>
      <c r="P246" s="340"/>
      <c r="Q246" s="340"/>
      <c r="R246" s="215" t="str">
        <f ca="1">G182</f>
        <v/>
      </c>
      <c r="S246" s="412"/>
      <c r="T246" s="413"/>
      <c r="U246" s="413"/>
      <c r="V246" s="215" t="str">
        <f ca="1">G183</f>
        <v/>
      </c>
      <c r="W246" s="239"/>
      <c r="X246" s="215" t="str">
        <f ca="1">G184</f>
        <v/>
      </c>
      <c r="Y246" s="111"/>
    </row>
    <row r="247" spans="8:25" ht="22.15" customHeight="1" x14ac:dyDescent="0.3">
      <c r="H247" s="128"/>
      <c r="I247" s="111"/>
      <c r="J247" s="85"/>
      <c r="K247" s="111"/>
      <c r="L247" s="85"/>
      <c r="M247" s="111"/>
      <c r="N247" s="85"/>
      <c r="O247" s="111"/>
      <c r="P247" s="85"/>
      <c r="Q247" s="111"/>
      <c r="R247" s="85"/>
      <c r="S247" s="111"/>
      <c r="T247" s="85"/>
      <c r="U247" s="111"/>
      <c r="V247" s="85"/>
      <c r="W247" s="111"/>
      <c r="X247" s="85"/>
      <c r="Y247" s="111"/>
    </row>
    <row r="248" spans="8:25" ht="22.15" customHeight="1" x14ac:dyDescent="0.3">
      <c r="H248" s="128"/>
      <c r="I248" s="122" t="s">
        <v>2711</v>
      </c>
      <c r="J248" s="122"/>
      <c r="K248" s="122"/>
      <c r="L248" s="122"/>
      <c r="M248" s="122"/>
      <c r="N248" s="122"/>
      <c r="O248" s="122"/>
      <c r="P248" s="122"/>
      <c r="Q248" s="122"/>
      <c r="R248" s="122"/>
      <c r="S248" s="122"/>
      <c r="T248" s="122"/>
      <c r="U248" s="122"/>
      <c r="V248" s="85"/>
      <c r="W248" s="210"/>
      <c r="X248" s="96">
        <f ca="1">G185</f>
        <v>1</v>
      </c>
      <c r="Y248" s="111"/>
    </row>
    <row r="249" spans="8:25" ht="22.15" customHeight="1" x14ac:dyDescent="0.3">
      <c r="H249" s="128"/>
      <c r="I249" s="122" t="s">
        <v>2712</v>
      </c>
      <c r="J249" s="85"/>
      <c r="K249" s="111"/>
      <c r="L249" s="85"/>
      <c r="M249" s="111"/>
      <c r="N249" s="85"/>
      <c r="O249" s="111"/>
      <c r="P249" s="85"/>
      <c r="Q249" s="111"/>
      <c r="R249" s="85"/>
      <c r="S249" s="111"/>
      <c r="T249" s="85"/>
      <c r="U249" s="111"/>
      <c r="V249" s="85"/>
      <c r="W249" s="111"/>
      <c r="X249" s="85"/>
      <c r="Y249" s="111"/>
    </row>
    <row r="250" spans="8:25" ht="22.15" customHeight="1" x14ac:dyDescent="0.3">
      <c r="H250" s="128"/>
      <c r="I250" s="341" t="s">
        <v>2714</v>
      </c>
      <c r="J250" s="342"/>
      <c r="K250" s="342"/>
      <c r="L250" s="342"/>
      <c r="M250" s="342"/>
      <c r="N250" s="342"/>
      <c r="O250" s="342"/>
      <c r="P250" s="343"/>
      <c r="Q250" s="341" t="s">
        <v>2713</v>
      </c>
      <c r="R250" s="342"/>
      <c r="S250" s="342"/>
      <c r="T250" s="342"/>
      <c r="U250" s="342"/>
      <c r="V250" s="342"/>
      <c r="W250" s="342"/>
      <c r="X250" s="343"/>
      <c r="Y250" s="111"/>
    </row>
    <row r="251" spans="8:25" ht="22.15" customHeight="1" x14ac:dyDescent="0.3">
      <c r="H251" s="128"/>
      <c r="I251" s="339"/>
      <c r="J251" s="340"/>
      <c r="K251" s="340"/>
      <c r="L251" s="340"/>
      <c r="M251" s="340"/>
      <c r="N251" s="340"/>
      <c r="O251" s="340"/>
      <c r="P251" s="215" t="str">
        <f ca="1">G186</f>
        <v/>
      </c>
      <c r="Q251" s="339"/>
      <c r="R251" s="340"/>
      <c r="S251" s="340"/>
      <c r="T251" s="340"/>
      <c r="U251" s="340"/>
      <c r="V251" s="340"/>
      <c r="W251" s="340"/>
      <c r="X251" s="215" t="str">
        <f ca="1">G187</f>
        <v/>
      </c>
      <c r="Y251" s="111"/>
    </row>
    <row r="252" spans="8:25" ht="22.15" customHeight="1" x14ac:dyDescent="0.3">
      <c r="H252" s="128"/>
      <c r="I252" s="339"/>
      <c r="J252" s="340"/>
      <c r="K252" s="340"/>
      <c r="L252" s="340"/>
      <c r="M252" s="340"/>
      <c r="N252" s="340"/>
      <c r="O252" s="340"/>
      <c r="P252" s="215" t="str">
        <f ca="1">G188</f>
        <v/>
      </c>
      <c r="Q252" s="339"/>
      <c r="R252" s="340"/>
      <c r="S252" s="340"/>
      <c r="T252" s="340"/>
      <c r="U252" s="340"/>
      <c r="V252" s="340"/>
      <c r="W252" s="340"/>
      <c r="X252" s="215" t="str">
        <f ca="1">G189</f>
        <v/>
      </c>
      <c r="Y252" s="111"/>
    </row>
    <row r="253" spans="8:25" ht="22.15" customHeight="1" x14ac:dyDescent="0.3">
      <c r="H253" s="128"/>
      <c r="I253" s="339"/>
      <c r="J253" s="340"/>
      <c r="K253" s="340"/>
      <c r="L253" s="340"/>
      <c r="M253" s="340"/>
      <c r="N253" s="340"/>
      <c r="O253" s="340"/>
      <c r="P253" s="215" t="str">
        <f ca="1">G190</f>
        <v/>
      </c>
      <c r="Q253" s="339"/>
      <c r="R253" s="340"/>
      <c r="S253" s="340"/>
      <c r="T253" s="340"/>
      <c r="U253" s="340"/>
      <c r="V253" s="340"/>
      <c r="W253" s="340"/>
      <c r="X253" s="215" t="str">
        <f ca="1">G191</f>
        <v/>
      </c>
      <c r="Y253" s="111"/>
    </row>
    <row r="254" spans="8:25" ht="22.15" customHeight="1" x14ac:dyDescent="0.3">
      <c r="H254" s="128"/>
      <c r="I254" s="339"/>
      <c r="J254" s="340"/>
      <c r="K254" s="340"/>
      <c r="L254" s="340"/>
      <c r="M254" s="340"/>
      <c r="N254" s="340"/>
      <c r="O254" s="340"/>
      <c r="P254" s="215" t="str">
        <f ca="1">G192</f>
        <v/>
      </c>
      <c r="Q254" s="339"/>
      <c r="R254" s="340"/>
      <c r="S254" s="340"/>
      <c r="T254" s="340"/>
      <c r="U254" s="340"/>
      <c r="V254" s="340"/>
      <c r="W254" s="340"/>
      <c r="X254" s="215" t="str">
        <f ca="1">G193</f>
        <v/>
      </c>
      <c r="Y254" s="111"/>
    </row>
    <row r="255" spans="8:25" ht="22.15" customHeight="1" x14ac:dyDescent="0.3">
      <c r="H255" s="128"/>
      <c r="I255" s="111"/>
      <c r="J255" s="85"/>
      <c r="K255" s="111"/>
      <c r="L255" s="85"/>
      <c r="M255" s="111"/>
      <c r="N255" s="85"/>
      <c r="O255" s="111"/>
      <c r="P255" s="85"/>
      <c r="Q255" s="111"/>
      <c r="R255" s="85"/>
      <c r="S255" s="111"/>
      <c r="T255" s="85"/>
      <c r="U255" s="111"/>
      <c r="V255" s="85"/>
      <c r="W255" s="111"/>
      <c r="X255" s="85"/>
      <c r="Y255" s="111"/>
    </row>
    <row r="256" spans="8:25" ht="22.15" customHeight="1" thickBot="1" x14ac:dyDescent="0.35">
      <c r="H256" s="128"/>
      <c r="I256" s="81" t="str">
        <f>B204</f>
        <v>Application Budget</v>
      </c>
      <c r="J256" s="140"/>
      <c r="K256" s="140"/>
      <c r="L256" s="140"/>
      <c r="M256" s="140"/>
      <c r="N256" s="140"/>
      <c r="O256" s="140"/>
      <c r="P256" s="140"/>
      <c r="Q256" s="140"/>
      <c r="R256" s="140"/>
      <c r="S256" s="140"/>
      <c r="T256" s="140"/>
      <c r="U256" s="140"/>
      <c r="V256" s="140"/>
      <c r="W256" s="140"/>
      <c r="X256" s="98" t="str">
        <f ca="1">"Status: "&amp;$B$212</f>
        <v>Status: Not Started</v>
      </c>
      <c r="Y256" s="111"/>
    </row>
    <row r="257" spans="8:25" ht="22.15" customHeight="1" x14ac:dyDescent="0.3">
      <c r="H257" s="128"/>
      <c r="I257" s="111"/>
      <c r="J257" s="85"/>
      <c r="K257" s="111"/>
      <c r="L257" s="85"/>
      <c r="M257" s="111"/>
      <c r="N257" s="85"/>
      <c r="O257" s="111"/>
      <c r="P257" s="85"/>
      <c r="Q257" s="111"/>
      <c r="R257" s="85"/>
      <c r="S257" s="111"/>
      <c r="T257" s="85"/>
      <c r="U257" s="111"/>
      <c r="V257" s="85"/>
      <c r="W257" s="111"/>
      <c r="X257" s="85"/>
      <c r="Y257" s="111"/>
    </row>
    <row r="258" spans="8:25" ht="22.15" customHeight="1" x14ac:dyDescent="0.3">
      <c r="H258" s="250"/>
      <c r="I258" s="387" t="s">
        <v>2794</v>
      </c>
      <c r="J258" s="387"/>
      <c r="K258" s="387"/>
      <c r="L258" s="387"/>
      <c r="M258" s="387"/>
      <c r="N258" s="387"/>
      <c r="O258" s="387"/>
      <c r="P258" s="387"/>
      <c r="Q258" s="387"/>
      <c r="R258" s="387"/>
      <c r="S258" s="387"/>
      <c r="T258" s="387"/>
      <c r="U258" s="387"/>
      <c r="V258" s="387"/>
      <c r="W258" s="387"/>
      <c r="X258" s="85"/>
      <c r="Y258" s="111"/>
    </row>
    <row r="259" spans="8:25" ht="22.15" customHeight="1" x14ac:dyDescent="0.3">
      <c r="H259" s="128"/>
      <c r="I259" s="387"/>
      <c r="J259" s="387"/>
      <c r="K259" s="387"/>
      <c r="L259" s="387"/>
      <c r="M259" s="387"/>
      <c r="N259" s="387"/>
      <c r="O259" s="387"/>
      <c r="P259" s="387"/>
      <c r="Q259" s="387"/>
      <c r="R259" s="387"/>
      <c r="S259" s="387"/>
      <c r="T259" s="387"/>
      <c r="U259" s="387"/>
      <c r="V259" s="387"/>
      <c r="W259" s="387"/>
      <c r="X259" s="85"/>
      <c r="Y259" s="111"/>
    </row>
    <row r="260" spans="8:25" ht="22.15" customHeight="1" x14ac:dyDescent="0.3">
      <c r="H260" s="128"/>
      <c r="I260" s="111"/>
      <c r="J260" s="85"/>
      <c r="K260" s="111"/>
      <c r="L260" s="85"/>
      <c r="M260" s="111"/>
      <c r="N260" s="85"/>
      <c r="O260" s="111"/>
      <c r="P260" s="85"/>
      <c r="Q260" s="111"/>
      <c r="R260" s="85"/>
      <c r="S260" s="111"/>
      <c r="T260" s="85"/>
      <c r="U260" s="111"/>
      <c r="V260" s="85"/>
      <c r="W260" s="111"/>
      <c r="X260" s="85"/>
      <c r="Y260" s="111"/>
    </row>
    <row r="261" spans="8:25" ht="22.15" customHeight="1" x14ac:dyDescent="0.3">
      <c r="H261" s="128"/>
      <c r="J261" s="85"/>
      <c r="K261" s="111"/>
      <c r="L261" s="85"/>
      <c r="M261" s="111"/>
      <c r="N261" s="85"/>
      <c r="O261" s="111"/>
      <c r="P261" s="85"/>
      <c r="Q261" s="111"/>
      <c r="R261" s="85"/>
      <c r="S261" s="111"/>
      <c r="T261" s="85"/>
      <c r="U261" s="111"/>
      <c r="V261" s="85"/>
      <c r="W261" s="111"/>
      <c r="X261" s="85"/>
    </row>
    <row r="262" spans="8:25" ht="22.15" customHeight="1" x14ac:dyDescent="0.3">
      <c r="I262" s="388" t="s">
        <v>2723</v>
      </c>
      <c r="J262" s="388"/>
      <c r="K262" s="388"/>
      <c r="L262" s="388"/>
      <c r="M262" s="388"/>
      <c r="N262" s="388"/>
      <c r="O262" s="388"/>
      <c r="P262" s="388"/>
      <c r="Q262" s="388"/>
      <c r="R262" s="388"/>
      <c r="S262" s="388"/>
      <c r="T262" s="388"/>
      <c r="U262" s="388"/>
      <c r="V262" s="388"/>
      <c r="W262" s="388"/>
    </row>
    <row r="263" spans="8:25" ht="22.15" customHeight="1" x14ac:dyDescent="0.3">
      <c r="I263" s="77"/>
      <c r="J263" s="252"/>
      <c r="K263" s="77"/>
      <c r="L263" s="252"/>
      <c r="M263" s="389"/>
      <c r="N263" s="390"/>
      <c r="O263" s="390"/>
      <c r="P263" s="390"/>
      <c r="Q263" s="390"/>
      <c r="R263" s="390"/>
      <c r="S263" s="391"/>
      <c r="T263" s="96">
        <f ca="1">G206</f>
        <v>1</v>
      </c>
      <c r="U263" s="77"/>
    </row>
    <row r="264" spans="8:25" ht="22.15" customHeight="1" x14ac:dyDescent="0.3">
      <c r="I264" s="338" t="str">
        <f ca="1">D206</f>
        <v/>
      </c>
      <c r="J264" s="338"/>
      <c r="K264" s="338"/>
      <c r="L264" s="338"/>
      <c r="M264" s="338"/>
      <c r="N264" s="338"/>
      <c r="O264" s="338"/>
      <c r="P264" s="338"/>
      <c r="Q264" s="338"/>
      <c r="R264" s="338"/>
      <c r="S264" s="338"/>
      <c r="T264" s="338"/>
      <c r="U264" s="338"/>
      <c r="V264" s="338"/>
      <c r="W264" s="338"/>
      <c r="X264" s="338"/>
    </row>
    <row r="265" spans="8:25" ht="22.15" customHeight="1" x14ac:dyDescent="0.3"/>
    <row r="266" spans="8:25" ht="22.15" customHeight="1" x14ac:dyDescent="0.3"/>
    <row r="267" spans="8:25" ht="22.15" hidden="1" customHeight="1" x14ac:dyDescent="0.3"/>
    <row r="268" spans="8:25" ht="22.15" hidden="1" customHeight="1" x14ac:dyDescent="0.3"/>
    <row r="269" spans="8:25" ht="22.15" hidden="1" customHeight="1" x14ac:dyDescent="0.3"/>
    <row r="270" spans="8:25" ht="22.15" hidden="1" customHeight="1" x14ac:dyDescent="0.3"/>
    <row r="271" spans="8:25" ht="22.15" hidden="1" customHeight="1" x14ac:dyDescent="0.3"/>
    <row r="272" spans="8:25" ht="22.15" hidden="1" customHeight="1" x14ac:dyDescent="0.3"/>
    <row r="273" ht="22.15" hidden="1" customHeight="1" x14ac:dyDescent="0.3"/>
    <row r="274" ht="22.15" hidden="1" customHeight="1" x14ac:dyDescent="0.3"/>
    <row r="275" ht="22.15" hidden="1" customHeight="1" x14ac:dyDescent="0.3"/>
    <row r="276" ht="22.15" hidden="1" customHeight="1" x14ac:dyDescent="0.3"/>
    <row r="277" ht="22.15" hidden="1" customHeight="1" x14ac:dyDescent="0.3"/>
    <row r="278" ht="22.15" hidden="1" customHeight="1" x14ac:dyDescent="0.3"/>
    <row r="279" ht="22.15" hidden="1" customHeight="1" x14ac:dyDescent="0.3"/>
    <row r="280" ht="22.15" hidden="1" customHeight="1" x14ac:dyDescent="0.3"/>
    <row r="281" ht="22.15" hidden="1" customHeight="1" x14ac:dyDescent="0.3"/>
    <row r="282" ht="22.15" hidden="1" customHeight="1" x14ac:dyDescent="0.3"/>
    <row r="283" ht="22.15" hidden="1" customHeight="1" x14ac:dyDescent="0.3"/>
    <row r="284" ht="22.15" hidden="1" customHeight="1" x14ac:dyDescent="0.3"/>
  </sheetData>
  <sheetProtection algorithmName="SHA-512" hashValue="ApACKJCiY0s9FwAR9Dh0mlZZ5yUhwWKhl68nHx4mlBALo2+MPuLq+ED8JwUPCEnGqZjq0JTJJywgNC3oo3rTwg==" saltValue="gMgo2d96Is6DRhwmO5FYPw==" spinCount="100000" sheet="1" selectLockedCells="1"/>
  <dataConsolidate/>
  <mergeCells count="107">
    <mergeCell ref="I243:Q243"/>
    <mergeCell ref="I244:Q244"/>
    <mergeCell ref="I245:Q245"/>
    <mergeCell ref="I246:Q246"/>
    <mergeCell ref="S242:V242"/>
    <mergeCell ref="S243:U243"/>
    <mergeCell ref="S244:U244"/>
    <mergeCell ref="S245:U245"/>
    <mergeCell ref="S246:U246"/>
    <mergeCell ref="I258:W259"/>
    <mergeCell ref="I262:W262"/>
    <mergeCell ref="M263:S263"/>
    <mergeCell ref="I6:Y6"/>
    <mergeCell ref="I53:M53"/>
    <mergeCell ref="O53:Q53"/>
    <mergeCell ref="O41:Q41"/>
    <mergeCell ref="I41:M41"/>
    <mergeCell ref="I37:W37"/>
    <mergeCell ref="Q39:W39"/>
    <mergeCell ref="I39:O39"/>
    <mergeCell ref="I43:O43"/>
    <mergeCell ref="Q43:W43"/>
    <mergeCell ref="I44:O44"/>
    <mergeCell ref="I49:W49"/>
    <mergeCell ref="I20:M20"/>
    <mergeCell ref="I21:M21"/>
    <mergeCell ref="I28:W28"/>
    <mergeCell ref="I22:M22"/>
    <mergeCell ref="U16:X16"/>
    <mergeCell ref="I23:M23"/>
    <mergeCell ref="I24:M24"/>
    <mergeCell ref="Q23:U23"/>
    <mergeCell ref="I242:R242"/>
    <mergeCell ref="Q20:U20"/>
    <mergeCell ref="Q22:U22"/>
    <mergeCell ref="Q21:U21"/>
    <mergeCell ref="Q24:U24"/>
    <mergeCell ref="S57:W57"/>
    <mergeCell ref="U92:W92"/>
    <mergeCell ref="U93:W93"/>
    <mergeCell ref="U94:W94"/>
    <mergeCell ref="I122:W124"/>
    <mergeCell ref="U84:W84"/>
    <mergeCell ref="U85:W85"/>
    <mergeCell ref="U83:W83"/>
    <mergeCell ref="I89:L89"/>
    <mergeCell ref="M89:T89"/>
    <mergeCell ref="U89:X89"/>
    <mergeCell ref="I90:K90"/>
    <mergeCell ref="I91:K91"/>
    <mergeCell ref="I92:K92"/>
    <mergeCell ref="I93:K93"/>
    <mergeCell ref="I94:K94"/>
    <mergeCell ref="M90:S90"/>
    <mergeCell ref="M91:S91"/>
    <mergeCell ref="S120:W120"/>
    <mergeCell ref="I32:O32"/>
    <mergeCell ref="U90:W90"/>
    <mergeCell ref="U91:W91"/>
    <mergeCell ref="M92:S92"/>
    <mergeCell ref="M93:S93"/>
    <mergeCell ref="M94:S94"/>
    <mergeCell ref="I102:W118"/>
    <mergeCell ref="O30:Q30"/>
    <mergeCell ref="I56:M56"/>
    <mergeCell ref="I55:M55"/>
    <mergeCell ref="O55:Q55"/>
    <mergeCell ref="I30:M30"/>
    <mergeCell ref="Q32:W32"/>
    <mergeCell ref="Q51:W51"/>
    <mergeCell ref="I51:O51"/>
    <mergeCell ref="S55:W55"/>
    <mergeCell ref="I62:W78"/>
    <mergeCell ref="S177:W177"/>
    <mergeCell ref="I179:W180"/>
    <mergeCell ref="I154:U155"/>
    <mergeCell ref="I149:U150"/>
    <mergeCell ref="I159:U160"/>
    <mergeCell ref="I185:W194"/>
    <mergeCell ref="I223:W228"/>
    <mergeCell ref="I198:U199"/>
    <mergeCell ref="I202:U203"/>
    <mergeCell ref="I208:W213"/>
    <mergeCell ref="I14:X14"/>
    <mergeCell ref="I8:X8"/>
    <mergeCell ref="I9:X13"/>
    <mergeCell ref="I264:X264"/>
    <mergeCell ref="I252:O252"/>
    <mergeCell ref="I253:O253"/>
    <mergeCell ref="I254:O254"/>
    <mergeCell ref="Q251:W251"/>
    <mergeCell ref="Q252:W252"/>
    <mergeCell ref="Q253:W253"/>
    <mergeCell ref="Q254:W254"/>
    <mergeCell ref="I250:P250"/>
    <mergeCell ref="Q250:X250"/>
    <mergeCell ref="I251:O251"/>
    <mergeCell ref="I238:W239"/>
    <mergeCell ref="W242:X242"/>
    <mergeCell ref="I217:W218"/>
    <mergeCell ref="U232:W232"/>
    <mergeCell ref="U233:W233"/>
    <mergeCell ref="I133:U134"/>
    <mergeCell ref="I135:U136"/>
    <mergeCell ref="I137:U138"/>
    <mergeCell ref="I139:U140"/>
    <mergeCell ref="I172:W173"/>
  </mergeCells>
  <conditionalFormatting sqref="H6">
    <cfRule type="expression" dxfId="39" priority="531">
      <formula>($B$10=TRUE)</formula>
    </cfRule>
    <cfRule type="iconSet" priority="530">
      <iconSet iconSet="3Flags" showValue="0">
        <cfvo type="percent" val="0"/>
        <cfvo type="num" val="1"/>
        <cfvo type="num" val="2" gte="0"/>
      </iconSet>
    </cfRule>
  </conditionalFormatting>
  <conditionalFormatting sqref="I44 I56">
    <cfRule type="notContainsBlanks" dxfId="38" priority="6261">
      <formula>LEN(TRIM(I44))&gt;0</formula>
    </cfRule>
  </conditionalFormatting>
  <conditionalFormatting sqref="I264">
    <cfRule type="notContainsBlanks" dxfId="37" priority="17">
      <formula>LEN(TRIM(I264))&gt;0</formula>
    </cfRule>
  </conditionalFormatting>
  <conditionalFormatting sqref="I91:L94">
    <cfRule type="expression" dxfId="36" priority="135">
      <formula>$L90&lt;&gt;2</formula>
    </cfRule>
  </conditionalFormatting>
  <conditionalFormatting sqref="I20:M23">
    <cfRule type="expression" dxfId="35" priority="365">
      <formula>LEN($I20)&lt;=10</formula>
    </cfRule>
  </conditionalFormatting>
  <conditionalFormatting sqref="I122:W124">
    <cfRule type="expression" dxfId="34" priority="130">
      <formula>$C$112&lt;=0</formula>
    </cfRule>
  </conditionalFormatting>
  <conditionalFormatting sqref="I172:W173">
    <cfRule type="expression" dxfId="33" priority="99">
      <formula>$C$144&lt;=0</formula>
    </cfRule>
  </conditionalFormatting>
  <conditionalFormatting sqref="I179:W180">
    <cfRule type="expression" dxfId="32" priority="96">
      <formula>$C$147&lt;=0</formula>
    </cfRule>
  </conditionalFormatting>
  <conditionalFormatting sqref="I208:W213">
    <cfRule type="expression" dxfId="31" priority="5">
      <formula>NOT(OR(UPPER($W$198)="YES",UPPER($W$200)="YES",UPPER($W$202)="YES",UPPER($W$204)="YES"))</formula>
    </cfRule>
  </conditionalFormatting>
  <conditionalFormatting sqref="I238:W239">
    <cfRule type="expression" dxfId="30" priority="82">
      <formula>$C$172&lt;=0</formula>
    </cfRule>
  </conditionalFormatting>
  <conditionalFormatting sqref="I90:X94">
    <cfRule type="expression" dxfId="29" priority="137">
      <formula>UPPER($W$87)&lt;&gt;"YES"</formula>
    </cfRule>
  </conditionalFormatting>
  <conditionalFormatting sqref="I251:X254">
    <cfRule type="expression" dxfId="28" priority="18">
      <formula>UPPER($W$248)&lt;&gt;"YES"</formula>
    </cfRule>
  </conditionalFormatting>
  <conditionalFormatting sqref="I6:Y6">
    <cfRule type="expression" dxfId="27" priority="532">
      <formula>($B$10=TRUE)</formula>
    </cfRule>
  </conditionalFormatting>
  <conditionalFormatting sqref="L90">
    <cfRule type="iconSet" priority="150">
      <iconSet iconSet="3Symbols" showValue="0">
        <cfvo type="percent" val="0"/>
        <cfvo type="num" val="0" gte="0"/>
        <cfvo type="num" val="2"/>
      </iconSet>
    </cfRule>
  </conditionalFormatting>
  <conditionalFormatting sqref="L91">
    <cfRule type="iconSet" priority="149">
      <iconSet iconSet="3Symbols" showValue="0">
        <cfvo type="percent" val="0"/>
        <cfvo type="num" val="0" gte="0"/>
        <cfvo type="num" val="2"/>
      </iconSet>
    </cfRule>
  </conditionalFormatting>
  <conditionalFormatting sqref="L92">
    <cfRule type="iconSet" priority="148">
      <iconSet iconSet="3Symbols" showValue="0">
        <cfvo type="percent" val="0"/>
        <cfvo type="num" val="0" gte="0"/>
        <cfvo type="num" val="2"/>
      </iconSet>
    </cfRule>
  </conditionalFormatting>
  <conditionalFormatting sqref="L93">
    <cfRule type="iconSet" priority="147">
      <iconSet iconSet="3Symbols" showValue="0">
        <cfvo type="percent" val="0"/>
        <cfvo type="num" val="0" gte="0"/>
        <cfvo type="num" val="2"/>
      </iconSet>
    </cfRule>
  </conditionalFormatting>
  <conditionalFormatting sqref="L94">
    <cfRule type="iconSet" priority="146">
      <iconSet iconSet="3Symbols" showValue="0">
        <cfvo type="percent" val="0"/>
        <cfvo type="num" val="0" gte="0"/>
        <cfvo type="num" val="2"/>
      </iconSet>
    </cfRule>
  </conditionalFormatting>
  <conditionalFormatting sqref="M90:X94">
    <cfRule type="expression" dxfId="26" priority="134">
      <formula>$L90&lt;&gt;2</formula>
    </cfRule>
  </conditionalFormatting>
  <conditionalFormatting sqref="N30">
    <cfRule type="iconSet" priority="159">
      <iconSet iconSet="3Symbols" showValue="0">
        <cfvo type="percent" val="0"/>
        <cfvo type="num" val="0" gte="0"/>
        <cfvo type="num" val="2"/>
      </iconSet>
    </cfRule>
  </conditionalFormatting>
  <conditionalFormatting sqref="O20:P23">
    <cfRule type="expression" dxfId="25" priority="558">
      <formula>($P20=2)</formula>
    </cfRule>
    <cfRule type="expression" dxfId="24" priority="552">
      <formula>($P20=0)</formula>
    </cfRule>
  </conditionalFormatting>
  <conditionalFormatting sqref="P32">
    <cfRule type="iconSet" priority="158">
      <iconSet iconSet="3Symbols" showValue="0">
        <cfvo type="percent" val="0"/>
        <cfvo type="num" val="0" gte="0"/>
        <cfvo type="num" val="2"/>
      </iconSet>
    </cfRule>
  </conditionalFormatting>
  <conditionalFormatting sqref="P251">
    <cfRule type="iconSet" priority="47">
      <iconSet iconSet="3Symbols" showValue="0">
        <cfvo type="percent" val="0"/>
        <cfvo type="num" val="0" gte="0"/>
        <cfvo type="num" val="2"/>
      </iconSet>
    </cfRule>
  </conditionalFormatting>
  <conditionalFormatting sqref="P252">
    <cfRule type="iconSet" priority="31">
      <iconSet iconSet="3Symbols" showValue="0">
        <cfvo type="percent" val="0"/>
        <cfvo type="num" val="0" gte="0"/>
        <cfvo type="num" val="2"/>
      </iconSet>
    </cfRule>
  </conditionalFormatting>
  <conditionalFormatting sqref="P253">
    <cfRule type="iconSet" priority="25">
      <iconSet iconSet="3Symbols" showValue="0">
        <cfvo type="percent" val="0"/>
        <cfvo type="num" val="0" gte="0"/>
        <cfvo type="num" val="2"/>
      </iconSet>
    </cfRule>
  </conditionalFormatting>
  <conditionalFormatting sqref="P254">
    <cfRule type="iconSet" priority="23">
      <iconSet iconSet="3Symbols" showValue="0">
        <cfvo type="percent" val="0"/>
        <cfvo type="num" val="0" gte="0"/>
        <cfvo type="num" val="2"/>
      </iconSet>
    </cfRule>
  </conditionalFormatting>
  <conditionalFormatting sqref="Q20:U23">
    <cfRule type="expression" dxfId="23" priority="366">
      <formula>LEN($Q20)&lt;=10</formula>
    </cfRule>
  </conditionalFormatting>
  <conditionalFormatting sqref="Q251:X254">
    <cfRule type="expression" dxfId="22" priority="19">
      <formula>$I251=""</formula>
    </cfRule>
  </conditionalFormatting>
  <conditionalFormatting sqref="R16 N16 J16">
    <cfRule type="iconSet" priority="564">
      <iconSet iconSet="3Symbols" showValue="0">
        <cfvo type="percent" val="0"/>
        <cfvo type="num" val="0" gte="0"/>
        <cfvo type="num" val="2"/>
      </iconSet>
    </cfRule>
  </conditionalFormatting>
  <conditionalFormatting sqref="R55 P51 X51 X49 X53 N53 R53 T53 N55">
    <cfRule type="iconSet" priority="611">
      <iconSet iconSet="3Symbols" showValue="0">
        <cfvo type="percent" val="0"/>
        <cfvo type="num" val="0" gte="0"/>
        <cfvo type="num" val="2"/>
      </iconSet>
    </cfRule>
  </conditionalFormatting>
  <conditionalFormatting sqref="R243">
    <cfRule type="iconSet" priority="81">
      <iconSet iconSet="3Symbols" showValue="0">
        <cfvo type="percent" val="0"/>
        <cfvo type="num" val="0" gte="0"/>
        <cfvo type="num" val="2"/>
      </iconSet>
    </cfRule>
  </conditionalFormatting>
  <conditionalFormatting sqref="R244:R246">
    <cfRule type="iconSet" priority="1">
      <iconSet iconSet="3Symbols" showValue="0">
        <cfvo type="percent" val="0"/>
        <cfvo type="num" val="0" gte="0"/>
        <cfvo type="num" val="2"/>
      </iconSet>
    </cfRule>
  </conditionalFormatting>
  <conditionalFormatting sqref="S243:X246">
    <cfRule type="expression" dxfId="21" priority="49">
      <formula>$I243=""</formula>
    </cfRule>
  </conditionalFormatting>
  <conditionalFormatting sqref="T90">
    <cfRule type="iconSet" priority="145">
      <iconSet iconSet="3Symbols" showValue="0">
        <cfvo type="percent" val="0"/>
        <cfvo type="num" val="0" gte="0"/>
        <cfvo type="num" val="2"/>
      </iconSet>
    </cfRule>
  </conditionalFormatting>
  <conditionalFormatting sqref="T91">
    <cfRule type="iconSet" priority="144">
      <iconSet iconSet="3Symbols" showValue="0">
        <cfvo type="percent" val="0"/>
        <cfvo type="num" val="0" gte="0"/>
        <cfvo type="num" val="2"/>
      </iconSet>
    </cfRule>
  </conditionalFormatting>
  <conditionalFormatting sqref="T92">
    <cfRule type="iconSet" priority="143">
      <iconSet iconSet="3Symbols" showValue="0">
        <cfvo type="percent" val="0"/>
        <cfvo type="num" val="0" gte="0"/>
        <cfvo type="num" val="2"/>
      </iconSet>
    </cfRule>
  </conditionalFormatting>
  <conditionalFormatting sqref="T93">
    <cfRule type="iconSet" priority="142">
      <iconSet iconSet="3Symbols" showValue="0">
        <cfvo type="percent" val="0"/>
        <cfvo type="num" val="0" gte="0"/>
        <cfvo type="num" val="2"/>
      </iconSet>
    </cfRule>
  </conditionalFormatting>
  <conditionalFormatting sqref="T94">
    <cfRule type="iconSet" priority="141">
      <iconSet iconSet="3Symbols" showValue="0">
        <cfvo type="percent" val="0"/>
        <cfvo type="num" val="0" gte="0"/>
        <cfvo type="num" val="2"/>
      </iconSet>
    </cfRule>
  </conditionalFormatting>
  <conditionalFormatting sqref="T263">
    <cfRule type="iconSet" priority="16">
      <iconSet iconSet="3Symbols" showValue="0">
        <cfvo type="percent" val="0"/>
        <cfvo type="num" val="0" gte="0"/>
        <cfvo type="num" val="2"/>
      </iconSet>
    </cfRule>
  </conditionalFormatting>
  <conditionalFormatting sqref="U90:U94">
    <cfRule type="expression" dxfId="20" priority="138">
      <formula>AND($U$83="",#REF!&lt;&gt;"")</formula>
    </cfRule>
  </conditionalFormatting>
  <conditionalFormatting sqref="U232:W232">
    <cfRule type="expression" dxfId="19" priority="86">
      <formula>$C168&lt;=0</formula>
    </cfRule>
  </conditionalFormatting>
  <conditionalFormatting sqref="U233:W233">
    <cfRule type="expression" dxfId="18" priority="85">
      <formula>$C$170&lt;=0</formula>
    </cfRule>
  </conditionalFormatting>
  <conditionalFormatting sqref="V20:V23 N20:N23">
    <cfRule type="iconSet" priority="6063">
      <iconSet iconSet="3Flags">
        <cfvo type="percent" val="0"/>
        <cfvo type="num" val="0" gte="0"/>
        <cfvo type="num" val="1000" gte="0"/>
      </iconSet>
    </cfRule>
  </conditionalFormatting>
  <conditionalFormatting sqref="V243">
    <cfRule type="iconSet" priority="79">
      <iconSet iconSet="3Symbols" showValue="0">
        <cfvo type="percent" val="0"/>
        <cfvo type="num" val="0" gte="0"/>
        <cfvo type="num" val="2"/>
      </iconSet>
    </cfRule>
  </conditionalFormatting>
  <conditionalFormatting sqref="V244:V246">
    <cfRule type="iconSet" priority="3">
      <iconSet iconSet="3Symbols" showValue="0">
        <cfvo type="percent" val="0"/>
        <cfvo type="num" val="0" gte="0"/>
        <cfvo type="num" val="2"/>
      </iconSet>
    </cfRule>
  </conditionalFormatting>
  <conditionalFormatting sqref="W3">
    <cfRule type="dataBar" priority="986">
      <dataBar>
        <cfvo type="num" val="0"/>
        <cfvo type="num" val="1"/>
        <color theme="6" tint="-0.249977111117893"/>
      </dataBar>
    </cfRule>
  </conditionalFormatting>
  <conditionalFormatting sqref="W131">
    <cfRule type="expression" dxfId="17" priority="126">
      <formula>$C$114&lt;=0</formula>
    </cfRule>
  </conditionalFormatting>
  <conditionalFormatting sqref="W143:W144">
    <cfRule type="expression" dxfId="16" priority="117">
      <formula>$C120&lt;=0</formula>
    </cfRule>
  </conditionalFormatting>
  <conditionalFormatting sqref="W148:W149">
    <cfRule type="expression" dxfId="15" priority="114">
      <formula>$C122&lt;=0</formula>
    </cfRule>
  </conditionalFormatting>
  <conditionalFormatting sqref="W153:W154">
    <cfRule type="expression" dxfId="14" priority="111">
      <formula>$C124&lt;=0</formula>
    </cfRule>
  </conditionalFormatting>
  <conditionalFormatting sqref="W158:W159">
    <cfRule type="expression" dxfId="13" priority="108">
      <formula>$C126&lt;=0</formula>
    </cfRule>
  </conditionalFormatting>
  <conditionalFormatting sqref="W163:W164">
    <cfRule type="expression" dxfId="12" priority="104">
      <formula>$C128&lt;=0</formula>
    </cfRule>
  </conditionalFormatting>
  <conditionalFormatting sqref="W20:X23">
    <cfRule type="expression" dxfId="11" priority="561">
      <formula>$X20=2</formula>
    </cfRule>
    <cfRule type="expression" dxfId="10" priority="562">
      <formula>($X20=0)</formula>
    </cfRule>
  </conditionalFormatting>
  <conditionalFormatting sqref="X3">
    <cfRule type="iconSet" priority="480">
      <iconSet iconSet="3Symbols2" showValue="0">
        <cfvo type="percent" val="0"/>
        <cfvo type="num" val="0" gte="0"/>
        <cfvo type="num" val="2"/>
      </iconSet>
    </cfRule>
  </conditionalFormatting>
  <conditionalFormatting sqref="X20:X23 P20:P23">
    <cfRule type="iconSet" priority="6059">
      <iconSet iconSet="3Symbols2" showValue="0">
        <cfvo type="percent" val="0"/>
        <cfvo type="num" val="0" gte="0"/>
        <cfvo type="num" val="1" gte="0"/>
      </iconSet>
    </cfRule>
  </conditionalFormatting>
  <conditionalFormatting sqref="X30 T30 R30 X28 X32">
    <cfRule type="iconSet" priority="6362">
      <iconSet iconSet="3Symbols" showValue="0">
        <cfvo type="percent" val="0"/>
        <cfvo type="num" val="0" gte="0"/>
        <cfvo type="num" val="2"/>
      </iconSet>
    </cfRule>
  </conditionalFormatting>
  <conditionalFormatting sqref="X38">
    <cfRule type="iconSet" priority="525">
      <iconSet iconSet="3Symbols" showValue="0">
        <cfvo type="percent" val="0"/>
        <cfvo type="num" val="0" gte="0"/>
        <cfvo type="num" val="2"/>
      </iconSet>
    </cfRule>
  </conditionalFormatting>
  <conditionalFormatting sqref="X43 P43 P39 X39 X37 X41 N41 R41 T41">
    <cfRule type="iconSet" priority="612">
      <iconSet iconSet="3Symbols" showValue="0">
        <cfvo type="percent" val="0"/>
        <cfvo type="num" val="0" gte="0"/>
        <cfvo type="num" val="2"/>
      </iconSet>
    </cfRule>
  </conditionalFormatting>
  <conditionalFormatting sqref="X50">
    <cfRule type="iconSet" priority="524">
      <iconSet iconSet="3Symbols" showValue="0">
        <cfvo type="percent" val="0"/>
        <cfvo type="num" val="0" gte="0"/>
        <cfvo type="num" val="2"/>
      </iconSet>
    </cfRule>
  </conditionalFormatting>
  <conditionalFormatting sqref="X55">
    <cfRule type="iconSet" priority="157">
      <iconSet iconSet="3Symbols" showValue="0">
        <cfvo type="percent" val="0"/>
        <cfvo type="num" val="0" gte="0"/>
        <cfvo type="num" val="2"/>
      </iconSet>
    </cfRule>
  </conditionalFormatting>
  <conditionalFormatting sqref="X57">
    <cfRule type="iconSet" priority="156">
      <iconSet iconSet="3Symbols" showValue="0">
        <cfvo type="percent" val="0"/>
        <cfvo type="num" val="0" gte="0"/>
        <cfvo type="num" val="2"/>
      </iconSet>
    </cfRule>
  </conditionalFormatting>
  <conditionalFormatting sqref="X62">
    <cfRule type="iconSet" priority="155">
      <iconSet iconSet="3Symbols" showValue="0">
        <cfvo type="percent" val="0"/>
        <cfvo type="num" val="0" gte="0"/>
        <cfvo type="num" val="2"/>
      </iconSet>
    </cfRule>
  </conditionalFormatting>
  <conditionalFormatting sqref="X83">
    <cfRule type="iconSet" priority="6456">
      <iconSet iconSet="3Symbols" showValue="0">
        <cfvo type="percent" val="0"/>
        <cfvo type="num" val="0" gte="0"/>
        <cfvo type="num" val="2"/>
      </iconSet>
    </cfRule>
  </conditionalFormatting>
  <conditionalFormatting sqref="X84">
    <cfRule type="iconSet" priority="154">
      <iconSet iconSet="3Symbols" showValue="0">
        <cfvo type="percent" val="0"/>
        <cfvo type="num" val="0" gte="0"/>
        <cfvo type="num" val="2"/>
      </iconSet>
    </cfRule>
  </conditionalFormatting>
  <conditionalFormatting sqref="X85">
    <cfRule type="iconSet" priority="153">
      <iconSet iconSet="3Symbols" showValue="0">
        <cfvo type="percent" val="0"/>
        <cfvo type="num" val="0" gte="0"/>
        <cfvo type="num" val="2"/>
      </iconSet>
    </cfRule>
  </conditionalFormatting>
  <conditionalFormatting sqref="X87">
    <cfRule type="iconSet" priority="151">
      <iconSet iconSet="3Symbols" showValue="0">
        <cfvo type="percent" val="0"/>
        <cfvo type="num" val="0" gte="0"/>
        <cfvo type="num" val="2"/>
      </iconSet>
    </cfRule>
  </conditionalFormatting>
  <conditionalFormatting sqref="X90">
    <cfRule type="iconSet" priority="140">
      <iconSet iconSet="3Symbols" showValue="0">
        <cfvo type="percent" val="0"/>
        <cfvo type="num" val="0" gte="0"/>
        <cfvo type="num" val="2"/>
      </iconSet>
    </cfRule>
  </conditionalFormatting>
  <conditionalFormatting sqref="X91:X94">
    <cfRule type="iconSet" priority="139">
      <iconSet iconSet="3Symbols" showValue="0">
        <cfvo type="percent" val="0"/>
        <cfvo type="num" val="0" gte="0"/>
        <cfvo type="num" val="2"/>
      </iconSet>
    </cfRule>
  </conditionalFormatting>
  <conditionalFormatting sqref="X102">
    <cfRule type="iconSet" priority="133">
      <iconSet iconSet="3Symbols" showValue="0">
        <cfvo type="percent" val="0"/>
        <cfvo type="num" val="0" gte="0"/>
        <cfvo type="num" val="2"/>
      </iconSet>
    </cfRule>
  </conditionalFormatting>
  <conditionalFormatting sqref="X120">
    <cfRule type="iconSet" priority="132">
      <iconSet iconSet="3Symbols" showValue="0">
        <cfvo type="percent" val="0"/>
        <cfvo type="num" val="0" gte="0"/>
        <cfvo type="num" val="2"/>
      </iconSet>
    </cfRule>
  </conditionalFormatting>
  <conditionalFormatting sqref="X122">
    <cfRule type="iconSet" priority="131">
      <iconSet iconSet="3Symbols" showValue="0">
        <cfvo type="percent" val="0"/>
        <cfvo type="num" val="0" gte="0"/>
        <cfvo type="num" val="2"/>
      </iconSet>
    </cfRule>
  </conditionalFormatting>
  <conditionalFormatting sqref="X127:X128">
    <cfRule type="iconSet" priority="129">
      <iconSet iconSet="3Symbols" showValue="0">
        <cfvo type="percent" val="0"/>
        <cfvo type="num" val="0" gte="0"/>
        <cfvo type="num" val="2"/>
      </iconSet>
    </cfRule>
  </conditionalFormatting>
  <conditionalFormatting sqref="X130">
    <cfRule type="iconSet" priority="128">
      <iconSet iconSet="3Symbols" showValue="0">
        <cfvo type="percent" val="0"/>
        <cfvo type="num" val="0" gte="0"/>
        <cfvo type="num" val="2"/>
      </iconSet>
    </cfRule>
  </conditionalFormatting>
  <conditionalFormatting sqref="X131">
    <cfRule type="iconSet" priority="127">
      <iconSet iconSet="3Symbols" showValue="0">
        <cfvo type="percent" val="0"/>
        <cfvo type="num" val="0" gte="0"/>
        <cfvo type="num" val="2"/>
      </iconSet>
    </cfRule>
  </conditionalFormatting>
  <conditionalFormatting sqref="X133">
    <cfRule type="iconSet" priority="125">
      <iconSet iconSet="3Symbols" showValue="0">
        <cfvo type="percent" val="0"/>
        <cfvo type="num" val="0" gte="0"/>
        <cfvo type="num" val="2"/>
      </iconSet>
    </cfRule>
  </conditionalFormatting>
  <conditionalFormatting sqref="X135">
    <cfRule type="iconSet" priority="124">
      <iconSet iconSet="3Symbols" showValue="0">
        <cfvo type="percent" val="0"/>
        <cfvo type="num" val="0" gte="0"/>
        <cfvo type="num" val="2"/>
      </iconSet>
    </cfRule>
  </conditionalFormatting>
  <conditionalFormatting sqref="X137">
    <cfRule type="iconSet" priority="123">
      <iconSet iconSet="3Symbols" showValue="0">
        <cfvo type="percent" val="0"/>
        <cfvo type="num" val="0" gte="0"/>
        <cfvo type="num" val="2"/>
      </iconSet>
    </cfRule>
  </conditionalFormatting>
  <conditionalFormatting sqref="X139">
    <cfRule type="iconSet" priority="122">
      <iconSet iconSet="3Symbols" showValue="0">
        <cfvo type="percent" val="0"/>
        <cfvo type="num" val="0" gte="0"/>
        <cfvo type="num" val="2"/>
      </iconSet>
    </cfRule>
  </conditionalFormatting>
  <conditionalFormatting sqref="X143">
    <cfRule type="iconSet" priority="121">
      <iconSet iconSet="3Symbols" showValue="0">
        <cfvo type="percent" val="0"/>
        <cfvo type="num" val="0" gte="0"/>
        <cfvo type="num" val="2"/>
      </iconSet>
    </cfRule>
  </conditionalFormatting>
  <conditionalFormatting sqref="X144">
    <cfRule type="iconSet" priority="118">
      <iconSet iconSet="3Symbols" showValue="0">
        <cfvo type="percent" val="0"/>
        <cfvo type="num" val="0" gte="0"/>
        <cfvo type="num" val="2"/>
      </iconSet>
    </cfRule>
  </conditionalFormatting>
  <conditionalFormatting sqref="X148">
    <cfRule type="iconSet" priority="116">
      <iconSet iconSet="3Symbols" showValue="0">
        <cfvo type="percent" val="0"/>
        <cfvo type="num" val="0" gte="0"/>
        <cfvo type="num" val="2"/>
      </iconSet>
    </cfRule>
  </conditionalFormatting>
  <conditionalFormatting sqref="X149">
    <cfRule type="iconSet" priority="115">
      <iconSet iconSet="3Symbols" showValue="0">
        <cfvo type="percent" val="0"/>
        <cfvo type="num" val="0" gte="0"/>
        <cfvo type="num" val="2"/>
      </iconSet>
    </cfRule>
  </conditionalFormatting>
  <conditionalFormatting sqref="X153">
    <cfRule type="iconSet" priority="113">
      <iconSet iconSet="3Symbols" showValue="0">
        <cfvo type="percent" val="0"/>
        <cfvo type="num" val="0" gte="0"/>
        <cfvo type="num" val="2"/>
      </iconSet>
    </cfRule>
  </conditionalFormatting>
  <conditionalFormatting sqref="X154">
    <cfRule type="iconSet" priority="110">
      <iconSet iconSet="3Symbols" showValue="0">
        <cfvo type="percent" val="0"/>
        <cfvo type="num" val="0" gte="0"/>
        <cfvo type="num" val="2"/>
      </iconSet>
    </cfRule>
  </conditionalFormatting>
  <conditionalFormatting sqref="X158">
    <cfRule type="iconSet" priority="109">
      <iconSet iconSet="3Symbols" showValue="0">
        <cfvo type="percent" val="0"/>
        <cfvo type="num" val="0" gte="0"/>
        <cfvo type="num" val="2"/>
      </iconSet>
    </cfRule>
  </conditionalFormatting>
  <conditionalFormatting sqref="X159">
    <cfRule type="iconSet" priority="106">
      <iconSet iconSet="3Symbols" showValue="0">
        <cfvo type="percent" val="0"/>
        <cfvo type="num" val="0" gte="0"/>
        <cfvo type="num" val="2"/>
      </iconSet>
    </cfRule>
  </conditionalFormatting>
  <conditionalFormatting sqref="X163">
    <cfRule type="iconSet" priority="105">
      <iconSet iconSet="3Symbols" showValue="0">
        <cfvo type="percent" val="0"/>
        <cfvo type="num" val="0" gte="0"/>
        <cfvo type="num" val="2"/>
      </iconSet>
    </cfRule>
  </conditionalFormatting>
  <conditionalFormatting sqref="X164">
    <cfRule type="iconSet" priority="102">
      <iconSet iconSet="3Symbols" showValue="0">
        <cfvo type="percent" val="0"/>
        <cfvo type="num" val="0" gte="0"/>
        <cfvo type="num" val="2"/>
      </iconSet>
    </cfRule>
  </conditionalFormatting>
  <conditionalFormatting sqref="X166">
    <cfRule type="iconSet" priority="101">
      <iconSet iconSet="3Symbols" showValue="0">
        <cfvo type="percent" val="0"/>
        <cfvo type="num" val="0" gte="0"/>
        <cfvo type="num" val="2"/>
      </iconSet>
    </cfRule>
  </conditionalFormatting>
  <conditionalFormatting sqref="X172">
    <cfRule type="iconSet" priority="100">
      <iconSet iconSet="3Symbols" showValue="0">
        <cfvo type="percent" val="0"/>
        <cfvo type="num" val="0" gte="0"/>
        <cfvo type="num" val="2"/>
      </iconSet>
    </cfRule>
  </conditionalFormatting>
  <conditionalFormatting sqref="X177">
    <cfRule type="iconSet" priority="98">
      <iconSet iconSet="3Symbols" showValue="0">
        <cfvo type="percent" val="0"/>
        <cfvo type="num" val="0" gte="0"/>
        <cfvo type="num" val="2"/>
      </iconSet>
    </cfRule>
  </conditionalFormatting>
  <conditionalFormatting sqref="X179">
    <cfRule type="iconSet" priority="97">
      <iconSet iconSet="3Symbols" showValue="0">
        <cfvo type="percent" val="0"/>
        <cfvo type="num" val="0" gte="0"/>
        <cfvo type="num" val="2"/>
      </iconSet>
    </cfRule>
  </conditionalFormatting>
  <conditionalFormatting sqref="X185">
    <cfRule type="iconSet" priority="92">
      <iconSet iconSet="3Symbols" showValue="0">
        <cfvo type="percent" val="0"/>
        <cfvo type="num" val="0" gte="0"/>
        <cfvo type="num" val="2"/>
      </iconSet>
    </cfRule>
  </conditionalFormatting>
  <conditionalFormatting sqref="X198">
    <cfRule type="iconSet" priority="9">
      <iconSet iconSet="3Symbols" showValue="0">
        <cfvo type="percent" val="0"/>
        <cfvo type="num" val="0" gte="0"/>
        <cfvo type="num" val="2"/>
      </iconSet>
    </cfRule>
  </conditionalFormatting>
  <conditionalFormatting sqref="X200">
    <cfRule type="iconSet" priority="8">
      <iconSet iconSet="3Symbols" showValue="0">
        <cfvo type="percent" val="0"/>
        <cfvo type="num" val="0" gte="0"/>
        <cfvo type="num" val="2"/>
      </iconSet>
    </cfRule>
  </conditionalFormatting>
  <conditionalFormatting sqref="X202">
    <cfRule type="iconSet" priority="7">
      <iconSet iconSet="3Symbols" showValue="0">
        <cfvo type="percent" val="0"/>
        <cfvo type="num" val="0" gte="0"/>
        <cfvo type="num" val="2"/>
      </iconSet>
    </cfRule>
  </conditionalFormatting>
  <conditionalFormatting sqref="X204">
    <cfRule type="iconSet" priority="6">
      <iconSet iconSet="3Symbols" showValue="0">
        <cfvo type="percent" val="0"/>
        <cfvo type="num" val="0" gte="0"/>
        <cfvo type="num" val="2"/>
      </iconSet>
    </cfRule>
  </conditionalFormatting>
  <conditionalFormatting sqref="X208">
    <cfRule type="iconSet" priority="10">
      <iconSet iconSet="3Symbols" showValue="0">
        <cfvo type="percent" val="0"/>
        <cfvo type="num" val="0" gte="0"/>
        <cfvo type="num" val="2"/>
      </iconSet>
    </cfRule>
  </conditionalFormatting>
  <conditionalFormatting sqref="X219">
    <cfRule type="iconSet" priority="91">
      <iconSet iconSet="3Symbols" showValue="0">
        <cfvo type="percent" val="0"/>
        <cfvo type="num" val="0" gte="0"/>
        <cfvo type="num" val="2"/>
      </iconSet>
    </cfRule>
  </conditionalFormatting>
  <conditionalFormatting sqref="X223">
    <cfRule type="iconSet" priority="90">
      <iconSet iconSet="3Symbols" showValue="0">
        <cfvo type="percent" val="0"/>
        <cfvo type="num" val="0" gte="0"/>
        <cfvo type="num" val="2"/>
      </iconSet>
    </cfRule>
  </conditionalFormatting>
  <conditionalFormatting sqref="X232">
    <cfRule type="iconSet" priority="88">
      <iconSet iconSet="3Symbols" showValue="0">
        <cfvo type="percent" val="0"/>
        <cfvo type="num" val="0" gte="0"/>
        <cfvo type="num" val="2"/>
      </iconSet>
    </cfRule>
  </conditionalFormatting>
  <conditionalFormatting sqref="X233">
    <cfRule type="iconSet" priority="87">
      <iconSet iconSet="3Symbols" showValue="0">
        <cfvo type="percent" val="0"/>
        <cfvo type="num" val="0" gte="0"/>
        <cfvo type="num" val="2"/>
      </iconSet>
    </cfRule>
  </conditionalFormatting>
  <conditionalFormatting sqref="X238">
    <cfRule type="iconSet" priority="84">
      <iconSet iconSet="3Symbols" showValue="0">
        <cfvo type="percent" val="0"/>
        <cfvo type="num" val="0" gte="0"/>
        <cfvo type="num" val="2"/>
      </iconSet>
    </cfRule>
  </conditionalFormatting>
  <conditionalFormatting sqref="X243">
    <cfRule type="iconSet" priority="75">
      <iconSet iconSet="3Symbols" showValue="0">
        <cfvo type="percent" val="0"/>
        <cfvo type="num" val="0" gte="0"/>
        <cfvo type="num" val="2"/>
      </iconSet>
    </cfRule>
  </conditionalFormatting>
  <conditionalFormatting sqref="X244">
    <cfRule type="iconSet" priority="67">
      <iconSet iconSet="3Symbols" showValue="0">
        <cfvo type="percent" val="0"/>
        <cfvo type="num" val="0" gte="0"/>
        <cfvo type="num" val="2"/>
      </iconSet>
    </cfRule>
  </conditionalFormatting>
  <conditionalFormatting sqref="X245">
    <cfRule type="iconSet" priority="59">
      <iconSet iconSet="3Symbols" showValue="0">
        <cfvo type="percent" val="0"/>
        <cfvo type="num" val="0" gte="0"/>
        <cfvo type="num" val="2"/>
      </iconSet>
    </cfRule>
  </conditionalFormatting>
  <conditionalFormatting sqref="X246">
    <cfRule type="iconSet" priority="51">
      <iconSet iconSet="3Symbols" showValue="0">
        <cfvo type="percent" val="0"/>
        <cfvo type="num" val="0" gte="0"/>
        <cfvo type="num" val="2"/>
      </iconSet>
    </cfRule>
  </conditionalFormatting>
  <conditionalFormatting sqref="X248">
    <cfRule type="iconSet" priority="48">
      <iconSet iconSet="3Symbols" showValue="0">
        <cfvo type="percent" val="0"/>
        <cfvo type="num" val="0" gte="0"/>
        <cfvo type="num" val="2"/>
      </iconSet>
    </cfRule>
  </conditionalFormatting>
  <conditionalFormatting sqref="X251">
    <cfRule type="iconSet" priority="39">
      <iconSet iconSet="3Symbols" showValue="0">
        <cfvo type="percent" val="0"/>
        <cfvo type="num" val="0" gte="0"/>
        <cfvo type="num" val="2"/>
      </iconSet>
    </cfRule>
  </conditionalFormatting>
  <conditionalFormatting sqref="X252">
    <cfRule type="iconSet" priority="21">
      <iconSet iconSet="3Symbols" showValue="0">
        <cfvo type="percent" val="0"/>
        <cfvo type="num" val="0" gte="0"/>
        <cfvo type="num" val="2"/>
      </iconSet>
    </cfRule>
  </conditionalFormatting>
  <conditionalFormatting sqref="X253">
    <cfRule type="iconSet" priority="35">
      <iconSet iconSet="3Symbols" showValue="0">
        <cfvo type="percent" val="0"/>
        <cfvo type="num" val="0" gte="0"/>
        <cfvo type="num" val="2"/>
      </iconSet>
    </cfRule>
  </conditionalFormatting>
  <conditionalFormatting sqref="X254">
    <cfRule type="iconSet" priority="33">
      <iconSet iconSet="3Symbols" showValue="0">
        <cfvo type="percent" val="0"/>
        <cfvo type="num" val="0" gte="0"/>
        <cfvo type="num" val="2"/>
      </iconSet>
    </cfRule>
  </conditionalFormatting>
  <dataValidations xWindow="1264" yWindow="668" count="59">
    <dataValidation type="textLength" allowBlank="1" showInputMessage="1" showErrorMessage="1" error="Maximum Number of Characters Exceeded" sqref="N30" xr:uid="{F5D119BF-F75A-4627-AEE0-2E8CE0061B5F}">
      <formula1>L29</formula1>
      <formula2>M29</formula2>
    </dataValidation>
    <dataValidation type="textLength" allowBlank="1" showInputMessage="1" showErrorMessage="1" error="Maximum Number of Characters Exceeded" sqref="I28" xr:uid="{DEBEB1DE-E7FC-43B9-988B-A6A148BC8E5C}">
      <formula1>E19</formula1>
      <formula2>F19</formula2>
    </dataValidation>
    <dataValidation type="textLength" allowBlank="1" showInputMessage="1" showErrorMessage="1" error="Maximum Number of Characters Exceeded" sqref="I37" xr:uid="{2B337B2E-05CA-443C-A15C-8E6AEC0CF264}">
      <formula1>E37</formula1>
      <formula2>F37</formula2>
    </dataValidation>
    <dataValidation type="textLength" allowBlank="1" showInputMessage="1" showErrorMessage="1" error="Maximum Number of Characters Exceeded" sqref="I39 I41" xr:uid="{361C9E47-31A2-4C4C-A337-6E9DA5E6F0B2}">
      <formula1>E38</formula1>
      <formula2>F38</formula2>
    </dataValidation>
    <dataValidation type="textLength" allowBlank="1" showInputMessage="1" showErrorMessage="1" error="Maximum Number of Characters Exceeded" sqref="O41" xr:uid="{DA819D5E-B968-4BC2-B27F-D356BB273438}">
      <formula1>E41</formula1>
      <formula2>F41</formula2>
    </dataValidation>
    <dataValidation type="textLength" allowBlank="1" showInputMessage="1" showErrorMessage="1" error="Maximum Number of Characters Exceeded" sqref="I49" xr:uid="{2D7E9593-10EA-4886-A2CC-F879078F5AD5}">
      <formula1>E57</formula1>
      <formula2>F57</formula2>
    </dataValidation>
    <dataValidation type="textLength" allowBlank="1" showInputMessage="1" showErrorMessage="1" error="Maximum Number of Characters Exceeded" sqref="I51 I53:M53" xr:uid="{583EDDCE-B4A7-44CD-9181-6F92D4CADD8F}">
      <formula1>E58</formula1>
      <formula2>F58</formula2>
    </dataValidation>
    <dataValidation type="textLength" allowBlank="1" showInputMessage="1" showErrorMessage="1" error="Invalid Phone Number Entered" sqref="Q43" xr:uid="{920402BD-0935-4029-8560-3B3F2B789B50}">
      <formula1>E45</formula1>
      <formula2>F45</formula2>
    </dataValidation>
    <dataValidation type="textLength" allowBlank="1" showInputMessage="1" showErrorMessage="1" error="Maximum Number of Characters Exceeded" sqref="Q39" xr:uid="{7BF003D8-7FF0-4E2D-B601-4ACD2D3B6923}">
      <formula1>E39</formula1>
      <formula2>F39</formula2>
    </dataValidation>
    <dataValidation type="textLength" allowBlank="1" showInputMessage="1" showErrorMessage="1" error="Maximum Number of Characters Exceeded" sqref="I55" xr:uid="{C3471907-8A87-46E9-B076-B7878DE48DC3}">
      <formula1>E64</formula1>
      <formula2>F64</formula2>
    </dataValidation>
    <dataValidation type="textLength" allowBlank="1" showInputMessage="1" showErrorMessage="1" error="Invalid Phone Number Entered" sqref="O55" xr:uid="{8D27C468-6E8A-4BF6-B7B7-11DEE4D77087}">
      <formula1>E65</formula1>
      <formula2>F65</formula2>
    </dataValidation>
    <dataValidation type="textLength" allowBlank="1" showInputMessage="1" showErrorMessage="1" error="Maximum Number of Characters Exceeded" sqref="Q51" xr:uid="{6E15BAD2-3471-42E2-B396-BC0E0A090621}">
      <formula1>E59</formula1>
      <formula2>F59</formula2>
    </dataValidation>
    <dataValidation type="textLength" allowBlank="1" showInputMessage="1" showErrorMessage="1" error="Maximum Number of Characters Exceeded" sqref="O30" xr:uid="{4058EA24-1091-4033-B2D8-36AD097216F7}">
      <formula1>E21</formula1>
      <formula2>F21</formula2>
    </dataValidation>
    <dataValidation type="list" allowBlank="1" showInputMessage="1" showErrorMessage="1" error="Select 'Yes' or 'No'" sqref="W87 W130 W133 W135 W137 W139 W219 W202 W243:W246 W248 W198 W200" xr:uid="{A5F6062B-4C69-4622-82C6-FF64E213504D}">
      <formula1>RANGE_LOOKUP_YESNO</formula1>
    </dataValidation>
    <dataValidation type="whole" allowBlank="1" showInputMessage="1" showErrorMessage="1" error="Invalid Zip Code Entered" sqref="U53 U30 U41" xr:uid="{451A26B6-3BB3-4F2E-9BC8-C9E0F620CDE4}">
      <formula1>1</formula1>
      <formula2>99999</formula2>
    </dataValidation>
    <dataValidation type="whole" allowBlank="1" showInputMessage="1" showErrorMessage="1" error="Invalid Zip+4 Entered" sqref="W53 W30 W41" xr:uid="{E07CD005-8DAE-495F-9B7B-92BCE82FE65A}">
      <formula1>1</formula1>
      <formula2>9999</formula2>
    </dataValidation>
    <dataValidation type="list" allowBlank="1" showInputMessage="1" showErrorMessage="1" error="Invalid State Code" sqref="S53" xr:uid="{56889054-A02F-4A74-B3D6-D40E4D575414}">
      <formula1>"AZ,CA,NV,AK,AL,AR,CO,CT,DC,DE,FL,GA,HI,IA,ID,IL,IN,KS,KY,LA,MA,MD,ME,MI,MN,MO,MS,MT,NC,ND,NH,NJ,NM,NE,NY,OH,OK,OR,PA,RI,SC,SD,TN,TX,UT,VA,VT,WA,WI,WV,WY"</formula1>
    </dataValidation>
    <dataValidation type="list" showInputMessage="1" showErrorMessage="1" error="Invalid state code selected OR clear selected County before changing state" sqref="S30" xr:uid="{1919E719-AFC6-4CA7-9A44-BD318764210A}">
      <formula1>IF($Q$32="",RANGE_LOOKUP_STATE_DISTRICT,INDIRECT("RANGE_FAKE"))</formula1>
    </dataValidation>
    <dataValidation type="custom" showInputMessage="1" showErrorMessage="1" errorTitle="No Data Entry" error="Field is Read-Only" sqref="H18" xr:uid="{9AD8B0BF-3EE8-4ED7-BDE4-3EE2799FEC23}">
      <formula1>"&lt;0&gt;0"</formula1>
    </dataValidation>
    <dataValidation allowBlank="1" showInputMessage="1" showErrorMessage="1" error="Maximum Number of Characters Exceeded" promptTitle="Tips" prompt="(1) To edit content already in this field, Double-Click to place the cursor at a specific location_x000a__x000a_(2) Press Alt+Enter to insert a new line" sqref="I62 I102" xr:uid="{BE328938-F06E-4C66-8E1C-684452F0C8B5}"/>
    <dataValidation type="list" allowBlank="1" showInputMessage="1" showErrorMessage="1" error="Invalid State Code" sqref="S41" xr:uid="{F843D7C2-59CD-497C-88A6-0F653DB1AF16}">
      <formula1>"AZ,CA,NV"</formula1>
    </dataValidation>
    <dataValidation type="list" allowBlank="1" showInputMessage="1" showErrorMessage="1" error="Invalid Sponsor Organization Type" sqref="S57:W57" xr:uid="{9998394B-535C-4B4F-9B39-9812133807BF}">
      <formula1>RANGE_LOOKUP_SPONSTYPE</formula1>
    </dataValidation>
    <dataValidation type="list" allowBlank="1" showInputMessage="1" showErrorMessage="1" error="Invalid County" sqref="Q32:W32" xr:uid="{45BB7270-2130-43F2-8077-A53F1354DF43}">
      <formula1>IF($S$30&lt;&gt;"",INDIRECT("COUNTY_RANGE_"&amp;$S$30),INDIRECT("RANGE_LOOKUP_COUNTY_PLACEHOLDER"))</formula1>
    </dataValidation>
    <dataValidation type="whole" allowBlank="1" showInputMessage="1" showErrorMessage="1" error="Must be greater than 0 and less (or equal to) than maximum grant amount; whole numbers only, round to nearest dollar" sqref="U83:W83" xr:uid="{C9B46C7F-22F3-4587-A3F6-0F9AF07006FE}">
      <formula1>E80</formula1>
      <formula2>F80</formula2>
    </dataValidation>
    <dataValidation type="date" operator="greaterThanOrEqual" allowBlank="1" showInputMessage="1" showErrorMessage="1" error="Must be on or after earliest award date" sqref="U84:W84" xr:uid="{09A7DC43-4983-4F84-80CD-8AC24D4EDAEC}">
      <formula1>CONFIG_EARLIEST_AWARD_DATE</formula1>
    </dataValidation>
    <dataValidation type="date" operator="lessThanOrEqual" allowBlank="1" showInputMessage="1" showErrorMessage="1" error="Must be on or before compliance period end date" sqref="U85:W85" xr:uid="{DA461822-D7FE-4043-81B1-C9F685AEE6CE}">
      <formula1>CONFIG_COMPLIANCE_PERIOD_END_DATE</formula1>
    </dataValidation>
    <dataValidation type="decimal" operator="greaterThan" allowBlank="1" showInputMessage="1" showErrorMessage="1" error="Must be greater than 0" sqref="U90:W94" xr:uid="{6330F1D7-9DA8-48B0-B622-72DE80D279C6}">
      <formula1>0</formula1>
    </dataValidation>
    <dataValidation type="list" allowBlank="1" showInputMessage="1" showErrorMessage="1" error="Invalid Project Type Specified" sqref="S120:W120" xr:uid="{A60A72C0-CE7C-484E-A6AE-1C672E4FF491}">
      <formula1>RANGE_LOOKUP_PROJECTTYPE</formula1>
    </dataValidation>
    <dataValidation allowBlank="1" showInputMessage="1" showErrorMessage="1" promptTitle="Tips" prompt="(1) To edit content already in this field, Double-Click to place the cursor at a specific location_x000a__x000a_(2) Press Alt+Enter to insert a new line" sqref="I185 I223 I208" xr:uid="{D5D5BE2B-76B6-4383-BCE8-0A7D3616479D}"/>
    <dataValidation type="whole" allowBlank="1" showInputMessage="1" showErrorMessage="1" error="Invalid Value" sqref="W131" xr:uid="{D5C4B906-2CF4-4361-972B-066448773C48}">
      <formula1>E114</formula1>
      <formula2>F114</formula2>
    </dataValidation>
    <dataValidation type="whole" operator="greaterThanOrEqual" allowBlank="1" showInputMessage="1" showErrorMessage="1" error="Invalid Value" sqref="W143:W144 W148:W149 W153:W154 W158:W159 W163:W164" xr:uid="{4024EBA8-49A8-4D8F-809C-BE7F0E81A417}">
      <formula1>0</formula1>
    </dataValidation>
    <dataValidation type="list" allowBlank="1" showInputMessage="1" showErrorMessage="1" error="Invalid Targeted Service Area Specified" sqref="S177:W177" xr:uid="{B5568065-BC00-4C23-B2EE-477719FDCA05}">
      <formula1>RANGE_LOOKUP_TSA</formula1>
    </dataValidation>
    <dataValidation type="whole" operator="greaterThanOrEqual" allowBlank="1" showInputMessage="1" showErrorMessage="1" error="Must be greater than 0 and less (or equal to) than maximum grant amount; whole numbers only, round to nearest dollar" sqref="U232:W233" xr:uid="{0ED25414-22D5-44BE-8493-9CC458879771}">
      <formula1>0</formula1>
    </dataValidation>
    <dataValidation type="textLength" allowBlank="1" showInputMessage="1" showErrorMessage="1" error="Maximum Number of Characters Exceeded" sqref="I30:M30" xr:uid="{C122317C-540B-442C-8C96-339F4987F07B}">
      <formula1>E20</formula1>
      <formula2>F20</formula2>
    </dataValidation>
    <dataValidation type="textLength" allowBlank="1" showInputMessage="1" showErrorMessage="1" error="Maximum Number of Characters Exceeded" sqref="I32:O32" xr:uid="{5FD09491-BADB-4359-92DF-9B8AB082CA2B}">
      <formula1>E24</formula1>
      <formula2>F24</formula2>
    </dataValidation>
    <dataValidation type="textLength" allowBlank="1" showInputMessage="1" showErrorMessage="1" error="Maximum Number of Characters Exceeded" sqref="I43:O43" xr:uid="{749A8E9F-B996-452F-82C0-C396C72798F7}">
      <formula1>E44</formula1>
      <formula2>F44</formula2>
    </dataValidation>
    <dataValidation type="textLength" allowBlank="1" showInputMessage="1" showErrorMessage="1" error="Maximum Number of Characters Exceeded" sqref="O53:Q53" xr:uid="{E310FFC6-0EF0-4BD6-920C-EB1142AA79C0}">
      <formula1>E61</formula1>
      <formula2>F61</formula2>
    </dataValidation>
    <dataValidation type="textLength" allowBlank="1" showInputMessage="1" showErrorMessage="1" error="Maximum Number of Characters Exceeded" sqref="S55:W55" xr:uid="{38590640-93CF-4F41-AEDE-AB444177AA78}">
      <formula1>E66</formula1>
      <formula2>F66</formula2>
    </dataValidation>
    <dataValidation type="textLength" allowBlank="1" showInputMessage="1" showErrorMessage="1" error="Maximum Number of Characters Exceeded" sqref="M90:S90" xr:uid="{96298B1C-9935-48DF-BCEB-D4861B61AB14}">
      <formula1>E85</formula1>
      <formula2>F85</formula2>
    </dataValidation>
    <dataValidation type="textLength" allowBlank="1" showInputMessage="1" showErrorMessage="1" error="Maximum Number of Characters Exceeded" sqref="M91:S91" xr:uid="{33709AB4-F3A8-472D-A50A-CFFF24D54536}">
      <formula1>E88</formula1>
      <formula2>F88</formula2>
    </dataValidation>
    <dataValidation type="textLength" allowBlank="1" showInputMessage="1" showErrorMessage="1" error="Maximum Number of Characters Exceeded" sqref="M92:S92" xr:uid="{762A4810-F8CC-4033-8767-AAE8E8A49247}">
      <formula1>E91</formula1>
      <formula2>F91</formula2>
    </dataValidation>
    <dataValidation type="textLength" allowBlank="1" showInputMessage="1" showErrorMessage="1" error="Maximum Number of Characters Exceeded" sqref="M94:S94" xr:uid="{15DF00D4-96FC-417B-B32E-F7AAC153949E}">
      <formula1>E97</formula1>
      <formula2>F97</formula2>
    </dataValidation>
    <dataValidation type="textLength" allowBlank="1" showInputMessage="1" showErrorMessage="1" error="Maximum Number of Characters Exceeded" sqref="M93:S93" xr:uid="{67C5FFC3-CA49-40ED-8ECD-B992EA0040E1}">
      <formula1>E94</formula1>
      <formula2>F94</formula2>
    </dataValidation>
    <dataValidation type="textLength" allowBlank="1" showInputMessage="1" showErrorMessage="1" error="Maximum Number of Characters Exceeded" promptTitle="Tips" prompt="(1) To edit content already in this field, Double-Click to place the cursor at a specific location_x000a__x000a_(2) Press Alt+Enter to insert a new line" sqref="I122:W124" xr:uid="{1EB4D6C0-3570-4333-9CF9-93940F204497}">
      <formula1>E112</formula1>
      <formula2>F112</formula2>
    </dataValidation>
    <dataValidation type="textLength" allowBlank="1" showInputMessage="1" showErrorMessage="1" error="Maximum Number of Characters Exceeded" sqref="I172:W173" xr:uid="{C08342F4-35C3-4D62-B957-0AA7C1D94C9F}">
      <formula1>E144</formula1>
      <formula2>F144</formula2>
    </dataValidation>
    <dataValidation type="textLength" allowBlank="1" showInputMessage="1" showErrorMessage="1" error="Maximum Number of Characters Exceeded" sqref="I179:W180" xr:uid="{D9A5E0D7-FAA2-4E3E-B097-A9A967AEC16F}">
      <formula1>E147</formula1>
      <formula2>F147</formula2>
    </dataValidation>
    <dataValidation type="textLength" allowBlank="1" showInputMessage="1" showErrorMessage="1" error="Maximum Number of Characters Exceeded" sqref="I238:W239 I245:O245" xr:uid="{A97422DE-9E11-40CD-B918-D63872D9E3F9}">
      <formula1>E172</formula1>
      <formula2>F172</formula2>
    </dataValidation>
    <dataValidation type="textLength" allowBlank="1" showInputMessage="1" showErrorMessage="1" error="Maximum Number of Characters Exceeded" sqref="I243" xr:uid="{2514244D-80D5-44D5-BC6F-16888ACEC9B2}">
      <formula1>E173</formula1>
      <formula2>F173</formula2>
    </dataValidation>
    <dataValidation type="textLength" allowBlank="1" showInputMessage="1" showErrorMessage="1" error="Maximum Number of Characters Exceeded" sqref="I244:O244" xr:uid="{5D4004FB-5A9B-403A-890B-0C1C87A50A35}">
      <formula1>E176</formula1>
      <formula2>F176</formula2>
    </dataValidation>
    <dataValidation type="textLength" allowBlank="1" showInputMessage="1" showErrorMessage="1" error="Maximum Number of Characters Exceeded" sqref="I246:O246 I252:O252" xr:uid="{AAB81C98-54EE-466B-BABA-5E7F35AE62FE}">
      <formula1>E182</formula1>
      <formula2>F182</formula2>
    </dataValidation>
    <dataValidation type="textLength" allowBlank="1" showInputMessage="1" showErrorMessage="1" error="Maximum Number of Characters Exceeded" sqref="I251:O251" xr:uid="{52409DD0-87AA-4B0B-9100-CCBAE375911B}">
      <formula1>E186</formula1>
      <formula2>F186</formula2>
    </dataValidation>
    <dataValidation type="textLength" allowBlank="1" showInputMessage="1" showErrorMessage="1" error="Maximum Number of Characters Exceeded" sqref="Q251:W251" xr:uid="{2A0B45BF-A0FB-4125-BAA9-F5B3830FD2CF}">
      <formula1>E187</formula1>
      <formula2>F187</formula2>
    </dataValidation>
    <dataValidation type="textLength" allowBlank="1" showInputMessage="1" showErrorMessage="1" error="Maximum Number of Characters Exceeded" sqref="I253:O253" xr:uid="{676BCC74-1F99-4B15-8463-05350287288F}">
      <formula1>E190</formula1>
      <formula2>F190</formula2>
    </dataValidation>
    <dataValidation type="textLength" allowBlank="1" showInputMessage="1" showErrorMessage="1" error="Maximum Number of Characters Exceeded" sqref="I254:O254" xr:uid="{BF37B90F-98AA-48F3-A7A0-3E0A33127887}">
      <formula1>E192</formula1>
      <formula2>F192</formula2>
    </dataValidation>
    <dataValidation type="textLength" allowBlank="1" showInputMessage="1" showErrorMessage="1" error="Maximum Number of Characters Exceeded" sqref="Q252:W252" xr:uid="{08B34446-AA63-47A9-8746-2C111204C9AC}">
      <formula1>E189</formula1>
      <formula2>F189</formula2>
    </dataValidation>
    <dataValidation type="textLength" allowBlank="1" showInputMessage="1" showErrorMessage="1" error="Maximum Number of Characters Exceeded" sqref="Q253:W253" xr:uid="{41846E53-9266-4E51-9440-33680A449E03}">
      <formula1>E191</formula1>
      <formula2>F191</formula2>
    </dataValidation>
    <dataValidation type="textLength" allowBlank="1" showInputMessage="1" showErrorMessage="1" error="Maximum Number of Characters Exceeded" sqref="Q254:W254" xr:uid="{45386B7F-1F95-41FD-BC5D-34774FADC75C}">
      <formula1>E193</formula1>
      <formula2>F193</formula2>
    </dataValidation>
    <dataValidation type="whole" allowBlank="1" showInputMessage="1" showErrorMessage="1" error="Enter four digit year of award between 2004 - 2023" sqref="L89:L94 I89:K89" xr:uid="{16FB3E25-B690-4A8C-9EB1-8F3EEDBB26F0}">
      <formula1>2004</formula1>
      <formula2>2024</formula2>
    </dataValidation>
    <dataValidation type="whole" allowBlank="1" showInputMessage="1" showErrorMessage="1" error="Enter four digit year of award between 2004 - 2025" sqref="I90:K94" xr:uid="{4E0312F2-C5C0-4B6B-8C65-32896BCC12E1}">
      <formula1>2004</formula1>
      <formula2>2025</formula2>
    </dataValidation>
  </dataValidations>
  <printOptions horizontalCentered="1"/>
  <pageMargins left="0.25" right="0.25" top="0.5" bottom="0.5" header="0.3" footer="0.3"/>
  <pageSetup fitToHeight="0" orientation="portrait" r:id="rId1"/>
  <headerFooter>
    <oddFooter>&amp;R&amp;8&amp;P of &amp;N&amp;L&amp;"Calibri"&amp;11&amp;K000000&amp;"Calibri"&amp;11&amp;K000000&amp;8AHEAD Program Application_x000D_&amp;1#&amp;"Calibri"&amp;9&amp;K008000FHLBank San Francisco | Public</oddFooter>
  </headerFooter>
  <rowBreaks count="7" manualBreakCount="7">
    <brk id="33" min="7" max="24" man="1"/>
    <brk id="58" min="7" max="24" man="1"/>
    <brk id="95" min="7" max="24" man="1"/>
    <brk id="150" min="7" max="24" man="1"/>
    <brk id="174" min="7" max="24" man="1"/>
    <brk id="195" min="7" max="24" man="1"/>
    <brk id="229" min="7"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053" r:id="rId4" name="TB_ATRISK_FLG">
              <controlPr defaultSize="0" autoFill="0" autoLine="0" autoPict="0">
                <anchor moveWithCells="1">
                  <from>
                    <xdr:col>7</xdr:col>
                    <xdr:colOff>133350</xdr:colOff>
                    <xdr:row>166</xdr:row>
                    <xdr:rowOff>31750</xdr:rowOff>
                  </from>
                  <to>
                    <xdr:col>11</xdr:col>
                    <xdr:colOff>76200</xdr:colOff>
                    <xdr:row>167</xdr:row>
                    <xdr:rowOff>0</xdr:rowOff>
                  </to>
                </anchor>
              </controlPr>
            </control>
          </mc:Choice>
        </mc:AlternateContent>
        <mc:AlternateContent xmlns:mc="http://schemas.openxmlformats.org/markup-compatibility/2006">
          <mc:Choice Requires="x14">
            <control shapeId="1054" r:id="rId5" name="TB_LOW_FLG">
              <controlPr defaultSize="0" autoFill="0" autoLine="0" autoPict="0" altText="Low-to-Moderate Income Families">
                <anchor moveWithCells="1">
                  <from>
                    <xdr:col>11</xdr:col>
                    <xdr:colOff>152400</xdr:colOff>
                    <xdr:row>166</xdr:row>
                    <xdr:rowOff>19050</xdr:rowOff>
                  </from>
                  <to>
                    <xdr:col>15</xdr:col>
                    <xdr:colOff>133350</xdr:colOff>
                    <xdr:row>166</xdr:row>
                    <xdr:rowOff>266700</xdr:rowOff>
                  </to>
                </anchor>
              </controlPr>
            </control>
          </mc:Choice>
        </mc:AlternateContent>
        <mc:AlternateContent xmlns:mc="http://schemas.openxmlformats.org/markup-compatibility/2006">
          <mc:Choice Requires="x14">
            <control shapeId="1056" r:id="rId6" name="TB_SENIORS_FLG">
              <controlPr defaultSize="0" autoFill="0" autoLine="0" autoPict="0" altText="Low-to-Moderate Income Families">
                <anchor moveWithCells="1">
                  <from>
                    <xdr:col>15</xdr:col>
                    <xdr:colOff>171450</xdr:colOff>
                    <xdr:row>166</xdr:row>
                    <xdr:rowOff>31750</xdr:rowOff>
                  </from>
                  <to>
                    <xdr:col>19</xdr:col>
                    <xdr:colOff>146050</xdr:colOff>
                    <xdr:row>167</xdr:row>
                    <xdr:rowOff>0</xdr:rowOff>
                  </to>
                </anchor>
              </controlPr>
            </control>
          </mc:Choice>
        </mc:AlternateContent>
        <mc:AlternateContent xmlns:mc="http://schemas.openxmlformats.org/markup-compatibility/2006">
          <mc:Choice Requires="x14">
            <control shapeId="1057" r:id="rId7" name="TB_WOMEN_FLG">
              <controlPr defaultSize="0" autoFill="0" autoLine="0" autoPict="0">
                <anchor moveWithCells="1">
                  <from>
                    <xdr:col>19</xdr:col>
                    <xdr:colOff>171450</xdr:colOff>
                    <xdr:row>166</xdr:row>
                    <xdr:rowOff>19050</xdr:rowOff>
                  </from>
                  <to>
                    <xdr:col>23</xdr:col>
                    <xdr:colOff>146050</xdr:colOff>
                    <xdr:row>166</xdr:row>
                    <xdr:rowOff>266700</xdr:rowOff>
                  </to>
                </anchor>
              </controlPr>
            </control>
          </mc:Choice>
        </mc:AlternateContent>
        <mc:AlternateContent xmlns:mc="http://schemas.openxmlformats.org/markup-compatibility/2006">
          <mc:Choice Requires="x14">
            <control shapeId="1058" r:id="rId8" name="TB_VETERANS_FLG">
              <controlPr defaultSize="0" autoFill="0" autoLine="0" autoPict="0" altText="Low-to-Moderate Income Families">
                <anchor moveWithCells="1">
                  <from>
                    <xdr:col>7</xdr:col>
                    <xdr:colOff>133350</xdr:colOff>
                    <xdr:row>167</xdr:row>
                    <xdr:rowOff>19050</xdr:rowOff>
                  </from>
                  <to>
                    <xdr:col>11</xdr:col>
                    <xdr:colOff>76200</xdr:colOff>
                    <xdr:row>167</xdr:row>
                    <xdr:rowOff>260350</xdr:rowOff>
                  </to>
                </anchor>
              </controlPr>
            </control>
          </mc:Choice>
        </mc:AlternateContent>
        <mc:AlternateContent xmlns:mc="http://schemas.openxmlformats.org/markup-compatibility/2006">
          <mc:Choice Requires="x14">
            <control shapeId="1059" r:id="rId9" name="TB_OTHER_ATRISK_FLG_UI">
              <controlPr defaultSize="0" autoFill="0" autoLine="0" autoPict="0" altText="Low-to-Moderate Income Families">
                <anchor moveWithCells="1">
                  <from>
                    <xdr:col>7</xdr:col>
                    <xdr:colOff>133350</xdr:colOff>
                    <xdr:row>169</xdr:row>
                    <xdr:rowOff>19050</xdr:rowOff>
                  </from>
                  <to>
                    <xdr:col>11</xdr:col>
                    <xdr:colOff>133350</xdr:colOff>
                    <xdr:row>169</xdr:row>
                    <xdr:rowOff>266700</xdr:rowOff>
                  </to>
                </anchor>
              </controlPr>
            </control>
          </mc:Choice>
        </mc:AlternateContent>
        <mc:AlternateContent xmlns:mc="http://schemas.openxmlformats.org/markup-compatibility/2006">
          <mc:Choice Requires="x14">
            <control shapeId="1074" r:id="rId10" name="OTHER_GRANT_FLAG_INPUT">
              <controlPr defaultSize="0" autoFill="0" autoLine="0" autoPict="0">
                <anchor moveWithCells="1">
                  <from>
                    <xdr:col>8</xdr:col>
                    <xdr:colOff>19050</xdr:colOff>
                    <xdr:row>231</xdr:row>
                    <xdr:rowOff>19050</xdr:rowOff>
                  </from>
                  <to>
                    <xdr:col>9</xdr:col>
                    <xdr:colOff>133350</xdr:colOff>
                    <xdr:row>231</xdr:row>
                    <xdr:rowOff>260350</xdr:rowOff>
                  </to>
                </anchor>
              </controlPr>
            </control>
          </mc:Choice>
        </mc:AlternateContent>
        <mc:AlternateContent xmlns:mc="http://schemas.openxmlformats.org/markup-compatibility/2006">
          <mc:Choice Requires="x14">
            <control shapeId="1075" r:id="rId11" name="Check Box 51">
              <controlPr defaultSize="0" autoFill="0" autoLine="0" autoPict="0">
                <anchor moveWithCells="1">
                  <from>
                    <xdr:col>8</xdr:col>
                    <xdr:colOff>19050</xdr:colOff>
                    <xdr:row>232</xdr:row>
                    <xdr:rowOff>19050</xdr:rowOff>
                  </from>
                  <to>
                    <xdr:col>9</xdr:col>
                    <xdr:colOff>133350</xdr:colOff>
                    <xdr:row>232</xdr:row>
                    <xdr:rowOff>266700</xdr:rowOff>
                  </to>
                </anchor>
              </controlPr>
            </control>
          </mc:Choice>
        </mc:AlternateContent>
        <mc:AlternateContent xmlns:mc="http://schemas.openxmlformats.org/markup-compatibility/2006">
          <mc:Choice Requires="x14">
            <control shapeId="1076" r:id="rId12" name="OTHER_NON_FIN_INVOL_FLG_INPUT">
              <controlPr defaultSize="0" autoFill="0" autoLine="0" autoPict="0">
                <anchor moveWithCells="1">
                  <from>
                    <xdr:col>7</xdr:col>
                    <xdr:colOff>152400</xdr:colOff>
                    <xdr:row>235</xdr:row>
                    <xdr:rowOff>19050</xdr:rowOff>
                  </from>
                  <to>
                    <xdr:col>17</xdr:col>
                    <xdr:colOff>19050</xdr:colOff>
                    <xdr:row>235</xdr:row>
                    <xdr:rowOff>266700</xdr:rowOff>
                  </to>
                </anchor>
              </controlPr>
            </control>
          </mc:Choice>
        </mc:AlternateContent>
        <mc:AlternateContent xmlns:mc="http://schemas.openxmlformats.org/markup-compatibility/2006">
          <mc:Choice Requires="x14">
            <control shapeId="1079" r:id="rId13" name="APPLICATION_BUDGET_CERT_FLG">
              <controlPr defaultSize="0" autoFill="0" autoLine="0" autoPict="0">
                <anchor moveWithCells="1">
                  <from>
                    <xdr:col>12</xdr:col>
                    <xdr:colOff>247650</xdr:colOff>
                    <xdr:row>262</xdr:row>
                    <xdr:rowOff>31750</xdr:rowOff>
                  </from>
                  <to>
                    <xdr:col>18</xdr:col>
                    <xdr:colOff>603250</xdr:colOff>
                    <xdr:row>263</xdr:row>
                    <xdr:rowOff>0</xdr:rowOff>
                  </to>
                </anchor>
              </controlPr>
            </control>
          </mc:Choice>
        </mc:AlternateContent>
        <mc:AlternateContent xmlns:mc="http://schemas.openxmlformats.org/markup-compatibility/2006">
          <mc:Choice Requires="x14">
            <control shapeId="1081" r:id="rId14" name="TB_DISASTER_VICTIMS_FLG">
              <controlPr defaultSize="0" autoFill="0" autoLine="0" autoPict="0" altText="Low-to-Moderate Income Families">
                <anchor moveWithCells="1">
                  <from>
                    <xdr:col>11</xdr:col>
                    <xdr:colOff>152400</xdr:colOff>
                    <xdr:row>167</xdr:row>
                    <xdr:rowOff>19050</xdr:rowOff>
                  </from>
                  <to>
                    <xdr:col>15</xdr:col>
                    <xdr:colOff>133350</xdr:colOff>
                    <xdr:row>167</xdr:row>
                    <xdr:rowOff>266700</xdr:rowOff>
                  </to>
                </anchor>
              </controlPr>
            </control>
          </mc:Choice>
        </mc:AlternateContent>
        <mc:AlternateContent xmlns:mc="http://schemas.openxmlformats.org/markup-compatibility/2006">
          <mc:Choice Requires="x14">
            <control shapeId="1082" r:id="rId15" name="TB_FORMERLY_INCAR_FLG">
              <controlPr defaultSize="0" autoFill="0" autoLine="0" autoPict="0" altText="Low-to-Moderate Income Families">
                <anchor moveWithCells="1">
                  <from>
                    <xdr:col>15</xdr:col>
                    <xdr:colOff>171450</xdr:colOff>
                    <xdr:row>167</xdr:row>
                    <xdr:rowOff>19050</xdr:rowOff>
                  </from>
                  <to>
                    <xdr:col>19</xdr:col>
                    <xdr:colOff>146050</xdr:colOff>
                    <xdr:row>167</xdr:row>
                    <xdr:rowOff>260350</xdr:rowOff>
                  </to>
                </anchor>
              </controlPr>
            </control>
          </mc:Choice>
        </mc:AlternateContent>
        <mc:AlternateContent xmlns:mc="http://schemas.openxmlformats.org/markup-compatibility/2006">
          <mc:Choice Requires="x14">
            <control shapeId="1083" r:id="rId16" name="TB_DISABILITIES_FLG">
              <controlPr defaultSize="0" autoFill="0" autoLine="0" autoPict="0" altText="Low-to-Moderate Income Families">
                <anchor moveWithCells="1">
                  <from>
                    <xdr:col>19</xdr:col>
                    <xdr:colOff>171450</xdr:colOff>
                    <xdr:row>167</xdr:row>
                    <xdr:rowOff>19050</xdr:rowOff>
                  </from>
                  <to>
                    <xdr:col>23</xdr:col>
                    <xdr:colOff>146050</xdr:colOff>
                    <xdr:row>167</xdr:row>
                    <xdr:rowOff>260350</xdr:rowOff>
                  </to>
                </anchor>
              </controlPr>
            </control>
          </mc:Choice>
        </mc:AlternateContent>
        <mc:AlternateContent xmlns:mc="http://schemas.openxmlformats.org/markup-compatibility/2006">
          <mc:Choice Requires="x14">
            <control shapeId="1094" r:id="rId17" name="TB_NATIVE_AMERICANS_FLG_UI">
              <controlPr defaultSize="0" autoFill="0" autoLine="0" autoPict="0" altText="Low-to-Moderate Income Families">
                <anchor moveWithCells="1">
                  <from>
                    <xdr:col>7</xdr:col>
                    <xdr:colOff>133350</xdr:colOff>
                    <xdr:row>168</xdr:row>
                    <xdr:rowOff>19050</xdr:rowOff>
                  </from>
                  <to>
                    <xdr:col>11</xdr:col>
                    <xdr:colOff>133350</xdr:colOff>
                    <xdr:row>168</xdr:row>
                    <xdr:rowOff>266700</xdr:rowOff>
                  </to>
                </anchor>
              </controlPr>
            </control>
          </mc:Choice>
        </mc:AlternateContent>
        <mc:AlternateContent xmlns:mc="http://schemas.openxmlformats.org/markup-compatibility/2006">
          <mc:Choice Requires="x14">
            <control shapeId="1099" r:id="rId18" name="TB_BIPOC_FLG_UI">
              <controlPr defaultSize="0" autoFill="0" autoLine="0" autoPict="0" altText="Low-to-Moderate Income Families">
                <anchor moveWithCells="1">
                  <from>
                    <xdr:col>11</xdr:col>
                    <xdr:colOff>152400</xdr:colOff>
                    <xdr:row>168</xdr:row>
                    <xdr:rowOff>19050</xdr:rowOff>
                  </from>
                  <to>
                    <xdr:col>15</xdr:col>
                    <xdr:colOff>133350</xdr:colOff>
                    <xdr:row>168</xdr:row>
                    <xdr:rowOff>266700</xdr:rowOff>
                  </to>
                </anchor>
              </controlPr>
            </control>
          </mc:Choice>
        </mc:AlternateContent>
        <mc:AlternateContent xmlns:mc="http://schemas.openxmlformats.org/markup-compatibility/2006">
          <mc:Choice Requires="x14">
            <control shapeId="1102" r:id="rId19" name="TB_LGBTQ_FLG_UI">
              <controlPr defaultSize="0" autoFill="0" autoLine="0" autoPict="0" altText="Low-to-Moderate Income Families">
                <anchor moveWithCells="1">
                  <from>
                    <xdr:col>15</xdr:col>
                    <xdr:colOff>171450</xdr:colOff>
                    <xdr:row>168</xdr:row>
                    <xdr:rowOff>19050</xdr:rowOff>
                  </from>
                  <to>
                    <xdr:col>19</xdr:col>
                    <xdr:colOff>146050</xdr:colOff>
                    <xdr:row>168</xdr:row>
                    <xdr:rowOff>266700</xdr:rowOff>
                  </to>
                </anchor>
              </controlPr>
            </control>
          </mc:Choice>
        </mc:AlternateContent>
        <mc:AlternateContent xmlns:mc="http://schemas.openxmlformats.org/markup-compatibility/2006">
          <mc:Choice Requires="x14">
            <control shapeId="1103" r:id="rId20" name="TB_UNHOUSED_FLG_UI">
              <controlPr defaultSize="0" autoFill="0" autoLine="0" autoPict="0" altText="Low-to-Moderate Income Families">
                <anchor moveWithCells="1">
                  <from>
                    <xdr:col>19</xdr:col>
                    <xdr:colOff>171450</xdr:colOff>
                    <xdr:row>168</xdr:row>
                    <xdr:rowOff>19050</xdr:rowOff>
                  </from>
                  <to>
                    <xdr:col>23</xdr:col>
                    <xdr:colOff>146050</xdr:colOff>
                    <xdr:row>168</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J80"/>
  <sheetViews>
    <sheetView showGridLines="0" showRowColHeaders="0" zoomScaleNormal="100" zoomScaleSheetLayoutView="100" workbookViewId="0">
      <pane ySplit="2" topLeftCell="A8" activePane="bottomLeft" state="frozen"/>
      <selection activeCell="I28" sqref="I28:W28"/>
      <selection pane="bottomLeft" activeCell="A3" sqref="A3"/>
    </sheetView>
  </sheetViews>
  <sheetFormatPr defaultColWidth="0" defaultRowHeight="14" zeroHeight="1" x14ac:dyDescent="0.3"/>
  <cols>
    <col min="1" max="1" width="1.7265625" style="307" customWidth="1"/>
    <col min="2" max="2" width="8.7265625" style="307" customWidth="1"/>
    <col min="3" max="3" width="14" style="307" customWidth="1"/>
    <col min="4" max="4" width="12.26953125" style="307" customWidth="1"/>
    <col min="5" max="8" width="13.7265625" style="307" customWidth="1"/>
    <col min="9" max="9" width="13.7265625" style="308" customWidth="1"/>
    <col min="10" max="10" width="1.7265625" style="307" customWidth="1"/>
    <col min="11" max="16384" width="9.26953125" style="307" hidden="1"/>
  </cols>
  <sheetData>
    <row r="1" spans="1:10" s="112" customFormat="1" ht="40.5" customHeight="1" thickBot="1" x14ac:dyDescent="0.3"/>
    <row r="2" spans="1:10" s="193" customFormat="1" ht="26.15" customHeight="1" x14ac:dyDescent="0.3">
      <c r="A2" s="86"/>
      <c r="B2" s="86" t="str">
        <f ca="1">(TRIM(LEFT(PROJ_NAME,150))&amp;IF(LEN(TRIM(PROJ_NAME))&gt;150,"…",""))</f>
        <v/>
      </c>
      <c r="C2" s="86"/>
      <c r="D2" s="86"/>
      <c r="E2" s="86"/>
      <c r="F2" s="86"/>
      <c r="G2" s="86"/>
      <c r="H2" s="86"/>
      <c r="I2" s="86"/>
      <c r="J2" s="86"/>
    </row>
    <row r="3" spans="1:10" s="193" customFormat="1" ht="9" customHeight="1" x14ac:dyDescent="0.35">
      <c r="A3" s="241">
        <v>15</v>
      </c>
      <c r="B3" s="251"/>
      <c r="C3" s="251"/>
      <c r="D3" s="251"/>
      <c r="E3" s="251"/>
      <c r="F3" s="251"/>
      <c r="G3" s="251"/>
      <c r="H3" s="251"/>
      <c r="I3" s="251"/>
      <c r="J3" s="240"/>
    </row>
    <row r="4" spans="1:10" s="259" customFormat="1" ht="20.149999999999999" customHeight="1" x14ac:dyDescent="0.35">
      <c r="B4" s="414" t="s">
        <v>2662</v>
      </c>
      <c r="C4" s="415"/>
      <c r="D4" s="415"/>
      <c r="E4" s="415"/>
      <c r="F4" s="415"/>
      <c r="G4" s="415"/>
      <c r="H4" s="415"/>
      <c r="I4" s="416"/>
    </row>
    <row r="5" spans="1:10" s="193" customFormat="1" ht="14.25" customHeight="1" x14ac:dyDescent="0.3">
      <c r="A5" s="259"/>
      <c r="B5" s="341" t="s">
        <v>39</v>
      </c>
      <c r="C5" s="342"/>
      <c r="D5" s="343"/>
      <c r="E5" s="417" t="str">
        <f ca="1">PROJ_NAME</f>
        <v/>
      </c>
      <c r="F5" s="417"/>
      <c r="G5" s="417"/>
      <c r="H5" s="417"/>
      <c r="I5" s="418"/>
    </row>
    <row r="6" spans="1:10" s="193" customFormat="1" x14ac:dyDescent="0.3">
      <c r="A6" s="259"/>
      <c r="B6" s="419" t="s">
        <v>161</v>
      </c>
      <c r="C6" s="420"/>
      <c r="D6" s="421"/>
      <c r="E6" s="417" t="str">
        <f ca="1">SPONS_NAME</f>
        <v/>
      </c>
      <c r="F6" s="417"/>
      <c r="G6" s="417"/>
      <c r="H6" s="417"/>
      <c r="I6" s="418"/>
    </row>
    <row r="7" spans="1:10" s="193" customFormat="1" ht="15.75" customHeight="1" x14ac:dyDescent="0.3">
      <c r="A7" s="259"/>
      <c r="B7" s="426" t="s">
        <v>2367</v>
      </c>
      <c r="C7" s="427"/>
      <c r="D7" s="428"/>
      <c r="E7" s="283" t="str">
        <f ca="1">PROJECT_START_DATE</f>
        <v/>
      </c>
      <c r="F7" s="429" t="s">
        <v>2368</v>
      </c>
      <c r="G7" s="430"/>
      <c r="H7" s="424" t="str">
        <f ca="1">PROJECT_END_DATE</f>
        <v/>
      </c>
      <c r="I7" s="425"/>
    </row>
    <row r="8" spans="1:10" s="193" customFormat="1" x14ac:dyDescent="0.3">
      <c r="B8" s="134"/>
      <c r="C8" s="134"/>
      <c r="D8" s="134"/>
      <c r="E8" s="257"/>
      <c r="F8" s="257"/>
      <c r="G8" s="258"/>
      <c r="H8" s="258"/>
      <c r="I8" s="282"/>
    </row>
    <row r="9" spans="1:10" s="259" customFormat="1" ht="20.149999999999999" customHeight="1" x14ac:dyDescent="0.35">
      <c r="B9" s="414" t="s">
        <v>2850</v>
      </c>
      <c r="C9" s="415"/>
      <c r="D9" s="415"/>
      <c r="E9" s="415"/>
      <c r="F9" s="415"/>
      <c r="G9" s="415"/>
      <c r="H9" s="415"/>
      <c r="I9" s="416"/>
    </row>
    <row r="10" spans="1:10" s="193" customFormat="1" ht="20.149999999999999" customHeight="1" x14ac:dyDescent="0.3">
      <c r="B10" s="295" t="s">
        <v>2725</v>
      </c>
      <c r="C10" s="296"/>
      <c r="D10" s="296"/>
      <c r="E10" s="297"/>
      <c r="F10" s="297"/>
      <c r="G10" s="298"/>
      <c r="H10" s="298"/>
      <c r="I10" s="299"/>
    </row>
    <row r="11" spans="1:10" s="193" customFormat="1" ht="62.25" customHeight="1" x14ac:dyDescent="0.3">
      <c r="B11" s="423" t="s">
        <v>2726</v>
      </c>
      <c r="C11" s="423"/>
      <c r="D11" s="422" t="s">
        <v>2851</v>
      </c>
      <c r="E11" s="422"/>
      <c r="F11" s="422"/>
      <c r="G11" s="422"/>
      <c r="H11" s="422"/>
      <c r="I11" s="422"/>
    </row>
    <row r="12" spans="1:10" s="193" customFormat="1" ht="39" customHeight="1" x14ac:dyDescent="0.3">
      <c r="B12" s="423" t="s">
        <v>2727</v>
      </c>
      <c r="C12" s="423"/>
      <c r="D12" s="422" t="s">
        <v>2852</v>
      </c>
      <c r="E12" s="422"/>
      <c r="F12" s="422"/>
      <c r="G12" s="422"/>
      <c r="H12" s="422"/>
      <c r="I12" s="422"/>
    </row>
    <row r="13" spans="1:10" s="193" customFormat="1" ht="39" customHeight="1" x14ac:dyDescent="0.3">
      <c r="B13" s="423" t="s">
        <v>2728</v>
      </c>
      <c r="C13" s="423"/>
      <c r="D13" s="422" t="s">
        <v>2853</v>
      </c>
      <c r="E13" s="422"/>
      <c r="F13" s="422"/>
      <c r="G13" s="422"/>
      <c r="H13" s="422"/>
      <c r="I13" s="422"/>
    </row>
    <row r="14" spans="1:10" s="193" customFormat="1" ht="27.75" customHeight="1" x14ac:dyDescent="0.3">
      <c r="B14" s="423" t="s">
        <v>2729</v>
      </c>
      <c r="C14" s="423"/>
      <c r="D14" s="422" t="s">
        <v>2730</v>
      </c>
      <c r="E14" s="422"/>
      <c r="F14" s="422"/>
      <c r="G14" s="422"/>
      <c r="H14" s="422"/>
      <c r="I14" s="422"/>
    </row>
    <row r="15" spans="1:10" s="193" customFormat="1" ht="5.15" customHeight="1" x14ac:dyDescent="0.3">
      <c r="B15" s="285"/>
      <c r="C15" s="134"/>
      <c r="D15" s="134"/>
      <c r="E15" s="257"/>
      <c r="F15" s="257"/>
      <c r="G15" s="258"/>
      <c r="H15" s="258"/>
      <c r="I15" s="304"/>
    </row>
    <row r="16" spans="1:10" s="193" customFormat="1" ht="20.149999999999999" customHeight="1" x14ac:dyDescent="0.3">
      <c r="B16" s="444" t="str">
        <f ca="1">IF(AND(APPLICATION_BUDGET_CERT_FLG=TRUE,BUDGET_SOF_BALANCE_FLAG=FALSE),
"All line items in the Total Sources of Funds table below must balance, please review the highlighted rows",
"")</f>
        <v/>
      </c>
      <c r="C16" s="392"/>
      <c r="D16" s="392"/>
      <c r="E16" s="392"/>
      <c r="F16" s="392"/>
      <c r="G16" s="392"/>
      <c r="H16" s="392"/>
      <c r="I16" s="445"/>
    </row>
    <row r="17" spans="2:9" s="193" customFormat="1" ht="5.15" customHeight="1" x14ac:dyDescent="0.3">
      <c r="B17" s="305"/>
      <c r="C17" s="302"/>
      <c r="D17" s="302"/>
      <c r="E17" s="302"/>
      <c r="F17" s="302"/>
      <c r="G17" s="302"/>
      <c r="H17" s="302"/>
      <c r="I17" s="306"/>
    </row>
    <row r="18" spans="2:9" s="259" customFormat="1" ht="20.149999999999999" customHeight="1" x14ac:dyDescent="0.35">
      <c r="B18" s="455"/>
      <c r="C18" s="456"/>
      <c r="D18" s="456"/>
      <c r="E18" s="457"/>
      <c r="F18" s="450" t="s">
        <v>2369</v>
      </c>
      <c r="G18" s="450"/>
      <c r="H18" s="450"/>
      <c r="I18" s="451"/>
    </row>
    <row r="19" spans="2:9" s="193" customFormat="1" ht="39" x14ac:dyDescent="0.3">
      <c r="B19" s="446" t="s">
        <v>2370</v>
      </c>
      <c r="C19" s="446"/>
      <c r="D19" s="446"/>
      <c r="E19" s="260" t="s">
        <v>2371</v>
      </c>
      <c r="F19" s="254" t="s">
        <v>2372</v>
      </c>
      <c r="G19" s="255" t="s">
        <v>2373</v>
      </c>
      <c r="H19" s="256" t="s">
        <v>2374</v>
      </c>
      <c r="I19" s="287" t="s">
        <v>2375</v>
      </c>
    </row>
    <row r="20" spans="2:9" s="193" customFormat="1" ht="15" customHeight="1" x14ac:dyDescent="0.3">
      <c r="B20" s="431" t="s">
        <v>2376</v>
      </c>
      <c r="C20" s="431"/>
      <c r="D20" s="431"/>
      <c r="E20" s="294" t="str">
        <f ca="1">IF(SUBSIDY_AMOUNT_REQUESTED="","",SUBSIDY_AMOUNT_REQUESTED)</f>
        <v/>
      </c>
      <c r="F20" s="293" t="str">
        <f ca="1">IF(E20="","",E20)</f>
        <v/>
      </c>
      <c r="G20" s="279"/>
      <c r="H20" s="280"/>
      <c r="I20" s="288">
        <f ca="1">IFERROR(E20-SUM(F20,G20,H20),0)</f>
        <v>0</v>
      </c>
    </row>
    <row r="21" spans="2:9" s="193" customFormat="1" ht="15" customHeight="1" x14ac:dyDescent="0.3">
      <c r="B21" s="431" t="s">
        <v>2377</v>
      </c>
      <c r="C21" s="431"/>
      <c r="D21" s="431"/>
      <c r="E21" s="261"/>
      <c r="F21" s="281"/>
      <c r="G21" s="262"/>
      <c r="H21" s="263"/>
      <c r="I21" s="288">
        <f t="shared" ref="I21:I32" si="0">E21-SUM(F21,G21,H21)</f>
        <v>0</v>
      </c>
    </row>
    <row r="22" spans="2:9" s="193" customFormat="1" ht="15" customHeight="1" x14ac:dyDescent="0.3">
      <c r="B22" s="431" t="s">
        <v>2378</v>
      </c>
      <c r="C22" s="431"/>
      <c r="D22" s="431"/>
      <c r="E22" s="261"/>
      <c r="F22" s="281"/>
      <c r="G22" s="262"/>
      <c r="H22" s="263"/>
      <c r="I22" s="288">
        <f t="shared" si="0"/>
        <v>0</v>
      </c>
    </row>
    <row r="23" spans="2:9" s="193" customFormat="1" ht="15" customHeight="1" x14ac:dyDescent="0.3">
      <c r="B23" s="431" t="s">
        <v>2379</v>
      </c>
      <c r="C23" s="431"/>
      <c r="D23" s="431"/>
      <c r="E23" s="261"/>
      <c r="F23" s="281"/>
      <c r="G23" s="262"/>
      <c r="H23" s="263"/>
      <c r="I23" s="288">
        <f t="shared" si="0"/>
        <v>0</v>
      </c>
    </row>
    <row r="24" spans="2:9" s="193" customFormat="1" ht="15" customHeight="1" x14ac:dyDescent="0.3">
      <c r="B24" s="431" t="s">
        <v>2380</v>
      </c>
      <c r="C24" s="431"/>
      <c r="D24" s="431"/>
      <c r="E24" s="261"/>
      <c r="F24" s="281"/>
      <c r="G24" s="262"/>
      <c r="H24" s="263"/>
      <c r="I24" s="288">
        <f t="shared" si="0"/>
        <v>0</v>
      </c>
    </row>
    <row r="25" spans="2:9" s="193" customFormat="1" ht="15" customHeight="1" x14ac:dyDescent="0.3">
      <c r="B25" s="431" t="s">
        <v>2381</v>
      </c>
      <c r="C25" s="431"/>
      <c r="D25" s="431"/>
      <c r="E25" s="261"/>
      <c r="F25" s="281"/>
      <c r="G25" s="262"/>
      <c r="H25" s="263"/>
      <c r="I25" s="288">
        <f t="shared" si="0"/>
        <v>0</v>
      </c>
    </row>
    <row r="26" spans="2:9" s="193" customFormat="1" ht="15" customHeight="1" x14ac:dyDescent="0.3">
      <c r="B26" s="431" t="s">
        <v>2382</v>
      </c>
      <c r="C26" s="431"/>
      <c r="D26" s="431"/>
      <c r="E26" s="261"/>
      <c r="F26" s="281"/>
      <c r="G26" s="262"/>
      <c r="H26" s="263"/>
      <c r="I26" s="288">
        <f t="shared" si="0"/>
        <v>0</v>
      </c>
    </row>
    <row r="27" spans="2:9" s="193" customFormat="1" x14ac:dyDescent="0.3">
      <c r="B27" s="436" t="s">
        <v>2383</v>
      </c>
      <c r="C27" s="436"/>
      <c r="D27" s="436"/>
      <c r="E27" s="264"/>
      <c r="F27" s="281"/>
      <c r="G27" s="262"/>
      <c r="H27" s="263"/>
      <c r="I27" s="288">
        <f t="shared" si="0"/>
        <v>0</v>
      </c>
    </row>
    <row r="28" spans="2:9" s="193" customFormat="1" x14ac:dyDescent="0.3">
      <c r="B28" s="436" t="s">
        <v>2384</v>
      </c>
      <c r="C28" s="436"/>
      <c r="D28" s="436"/>
      <c r="E28" s="264"/>
      <c r="F28" s="281"/>
      <c r="G28" s="262"/>
      <c r="H28" s="263"/>
      <c r="I28" s="288">
        <f t="shared" si="0"/>
        <v>0</v>
      </c>
    </row>
    <row r="29" spans="2:9" s="193" customFormat="1" ht="15" customHeight="1" x14ac:dyDescent="0.3">
      <c r="B29" s="431" t="s">
        <v>2385</v>
      </c>
      <c r="C29" s="431"/>
      <c r="D29" s="431"/>
      <c r="E29" s="264"/>
      <c r="F29" s="281"/>
      <c r="G29" s="262"/>
      <c r="H29" s="263"/>
      <c r="I29" s="288">
        <f t="shared" si="0"/>
        <v>0</v>
      </c>
    </row>
    <row r="30" spans="2:9" s="193" customFormat="1" ht="15" customHeight="1" x14ac:dyDescent="0.3">
      <c r="B30" s="431" t="s">
        <v>2386</v>
      </c>
      <c r="C30" s="431"/>
      <c r="D30" s="431"/>
      <c r="E30" s="264"/>
      <c r="F30" s="281"/>
      <c r="G30" s="262"/>
      <c r="H30" s="263"/>
      <c r="I30" s="288">
        <f t="shared" si="0"/>
        <v>0</v>
      </c>
    </row>
    <row r="31" spans="2:9" s="193" customFormat="1" ht="14.5" x14ac:dyDescent="0.3">
      <c r="B31" s="265" t="s">
        <v>2387</v>
      </c>
      <c r="C31" s="437"/>
      <c r="D31" s="438"/>
      <c r="E31" s="264"/>
      <c r="F31" s="281"/>
      <c r="G31" s="262"/>
      <c r="H31" s="263"/>
      <c r="I31" s="288">
        <f t="shared" si="0"/>
        <v>0</v>
      </c>
    </row>
    <row r="32" spans="2:9" s="193" customFormat="1" x14ac:dyDescent="0.3">
      <c r="B32" s="265" t="s">
        <v>2387</v>
      </c>
      <c r="C32" s="435"/>
      <c r="D32" s="435"/>
      <c r="E32" s="264"/>
      <c r="F32" s="280"/>
      <c r="G32" s="262"/>
      <c r="H32" s="263"/>
      <c r="I32" s="288">
        <f t="shared" si="0"/>
        <v>0</v>
      </c>
    </row>
    <row r="33" spans="2:9" s="193" customFormat="1" ht="15" customHeight="1" x14ac:dyDescent="0.3">
      <c r="B33" s="432" t="s">
        <v>2388</v>
      </c>
      <c r="C33" s="433"/>
      <c r="D33" s="434"/>
      <c r="E33" s="274">
        <f ca="1">SUM(E20:E32)</f>
        <v>0</v>
      </c>
      <c r="F33" s="275">
        <f ca="1">SUM(F20)</f>
        <v>0</v>
      </c>
      <c r="G33" s="276">
        <f>SUM(G21:G32)</f>
        <v>0</v>
      </c>
      <c r="H33" s="275">
        <f>SUM(H21:H32)</f>
        <v>0</v>
      </c>
      <c r="I33" s="289"/>
    </row>
    <row r="34" spans="2:9" s="193" customFormat="1" ht="15" customHeight="1" x14ac:dyDescent="0.3">
      <c r="B34" s="266"/>
      <c r="C34" s="266"/>
      <c r="D34" s="266"/>
      <c r="E34" s="194"/>
      <c r="F34" s="194"/>
      <c r="G34" s="195"/>
      <c r="H34" s="195"/>
      <c r="I34" s="284"/>
    </row>
    <row r="35" spans="2:9" s="259" customFormat="1" ht="20.149999999999999" customHeight="1" x14ac:dyDescent="0.35">
      <c r="B35" s="414" t="s">
        <v>2724</v>
      </c>
      <c r="C35" s="415"/>
      <c r="D35" s="415"/>
      <c r="E35" s="415"/>
      <c r="F35" s="415"/>
      <c r="G35" s="415"/>
      <c r="H35" s="415"/>
      <c r="I35" s="416"/>
    </row>
    <row r="36" spans="2:9" s="193" customFormat="1" ht="20.149999999999999" customHeight="1" x14ac:dyDescent="0.3">
      <c r="B36" s="295" t="s">
        <v>2725</v>
      </c>
      <c r="C36" s="296"/>
      <c r="D36" s="296"/>
      <c r="E36" s="297"/>
      <c r="F36" s="297"/>
      <c r="G36" s="298"/>
      <c r="H36" s="298"/>
      <c r="I36" s="299"/>
    </row>
    <row r="37" spans="2:9" s="193" customFormat="1" ht="50.25" customHeight="1" x14ac:dyDescent="0.3">
      <c r="B37" s="423" t="s">
        <v>2726</v>
      </c>
      <c r="C37" s="423"/>
      <c r="D37" s="422" t="s">
        <v>2854</v>
      </c>
      <c r="E37" s="422"/>
      <c r="F37" s="422"/>
      <c r="G37" s="422"/>
      <c r="H37" s="422"/>
      <c r="I37" s="422"/>
    </row>
    <row r="38" spans="2:9" s="193" customFormat="1" ht="39" customHeight="1" x14ac:dyDescent="0.3">
      <c r="B38" s="423" t="s">
        <v>2857</v>
      </c>
      <c r="C38" s="423"/>
      <c r="D38" s="422" t="s">
        <v>2855</v>
      </c>
      <c r="E38" s="422"/>
      <c r="F38" s="422"/>
      <c r="G38" s="422"/>
      <c r="H38" s="422"/>
      <c r="I38" s="422"/>
    </row>
    <row r="39" spans="2:9" s="193" customFormat="1" ht="39" customHeight="1" x14ac:dyDescent="0.3">
      <c r="B39" s="423" t="s">
        <v>2856</v>
      </c>
      <c r="C39" s="423"/>
      <c r="D39" s="422" t="s">
        <v>2731</v>
      </c>
      <c r="E39" s="422"/>
      <c r="F39" s="422"/>
      <c r="G39" s="422"/>
      <c r="H39" s="422"/>
      <c r="I39" s="422"/>
    </row>
    <row r="40" spans="2:9" s="193" customFormat="1" ht="27.75" customHeight="1" x14ac:dyDescent="0.3">
      <c r="B40" s="423" t="s">
        <v>2729</v>
      </c>
      <c r="C40" s="423"/>
      <c r="D40" s="422" t="s">
        <v>2730</v>
      </c>
      <c r="E40" s="422"/>
      <c r="F40" s="422"/>
      <c r="G40" s="422"/>
      <c r="H40" s="422"/>
      <c r="I40" s="422"/>
    </row>
    <row r="41" spans="2:9" s="193" customFormat="1" ht="5.15" customHeight="1" x14ac:dyDescent="0.3">
      <c r="B41" s="285"/>
      <c r="C41" s="134"/>
      <c r="D41" s="134"/>
      <c r="E41" s="257"/>
      <c r="F41" s="257"/>
      <c r="G41" s="258"/>
      <c r="H41" s="258"/>
      <c r="I41" s="304"/>
    </row>
    <row r="42" spans="2:9" s="193" customFormat="1" ht="20.149999999999999" customHeight="1" x14ac:dyDescent="0.3">
      <c r="B42" s="444" t="str">
        <f ca="1">IF(AND(APPLICATION_BUDGET_CERT_FLG=TRUE,BUDGET_UOF_BALANCE_FLAG=FALSE),
"All line items in the Total Uses of Funds table below must balance, please review the highlighted rows",
"")</f>
        <v/>
      </c>
      <c r="C42" s="392"/>
      <c r="D42" s="392"/>
      <c r="E42" s="392"/>
      <c r="F42" s="392"/>
      <c r="G42" s="392"/>
      <c r="H42" s="392"/>
      <c r="I42" s="445"/>
    </row>
    <row r="43" spans="2:9" s="193" customFormat="1" ht="5.15" customHeight="1" x14ac:dyDescent="0.3">
      <c r="B43" s="305"/>
      <c r="C43" s="302"/>
      <c r="D43" s="302"/>
      <c r="E43" s="302"/>
      <c r="F43" s="302"/>
      <c r="G43" s="302"/>
      <c r="H43" s="302"/>
      <c r="I43" s="306"/>
    </row>
    <row r="44" spans="2:9" s="259" customFormat="1" ht="20.149999999999999" customHeight="1" x14ac:dyDescent="0.35">
      <c r="B44" s="286"/>
      <c r="C44" s="267"/>
      <c r="D44" s="267"/>
      <c r="E44" s="267"/>
      <c r="F44" s="452" t="s">
        <v>2389</v>
      </c>
      <c r="G44" s="450"/>
      <c r="H44" s="450"/>
      <c r="I44" s="451"/>
    </row>
    <row r="45" spans="2:9" s="193" customFormat="1" ht="26" x14ac:dyDescent="0.3">
      <c r="B45" s="446" t="s">
        <v>2390</v>
      </c>
      <c r="C45" s="446"/>
      <c r="D45" s="446"/>
      <c r="E45" s="253" t="s">
        <v>2391</v>
      </c>
      <c r="F45" s="268" t="s">
        <v>2372</v>
      </c>
      <c r="G45" s="453" t="s">
        <v>2392</v>
      </c>
      <c r="H45" s="454"/>
      <c r="I45" s="287" t="s">
        <v>2375</v>
      </c>
    </row>
    <row r="46" spans="2:9" s="193" customFormat="1" x14ac:dyDescent="0.3">
      <c r="B46" s="439" t="s">
        <v>2393</v>
      </c>
      <c r="C46" s="440"/>
      <c r="D46" s="440"/>
      <c r="E46" s="440"/>
      <c r="F46" s="440"/>
      <c r="G46" s="440"/>
      <c r="H46" s="440"/>
      <c r="I46" s="441"/>
    </row>
    <row r="47" spans="2:9" s="193" customFormat="1" ht="15" customHeight="1" x14ac:dyDescent="0.3">
      <c r="B47" s="431" t="s">
        <v>2394</v>
      </c>
      <c r="C47" s="431"/>
      <c r="D47" s="431"/>
      <c r="E47" s="264"/>
      <c r="F47" s="269"/>
      <c r="G47" s="442"/>
      <c r="H47" s="443"/>
      <c r="I47" s="288">
        <f>E47-SUM(F47,G47)</f>
        <v>0</v>
      </c>
    </row>
    <row r="48" spans="2:9" s="193" customFormat="1" ht="15" customHeight="1" x14ac:dyDescent="0.3">
      <c r="B48" s="431" t="s">
        <v>2395</v>
      </c>
      <c r="C48" s="431"/>
      <c r="D48" s="431"/>
      <c r="E48" s="264"/>
      <c r="F48" s="269"/>
      <c r="G48" s="442"/>
      <c r="H48" s="443"/>
      <c r="I48" s="288">
        <f>E48-SUM(F48,G48)</f>
        <v>0</v>
      </c>
    </row>
    <row r="49" spans="2:9" s="193" customFormat="1" ht="15" customHeight="1" x14ac:dyDescent="0.3">
      <c r="B49" s="431" t="s">
        <v>2396</v>
      </c>
      <c r="C49" s="431"/>
      <c r="D49" s="431"/>
      <c r="E49" s="264"/>
      <c r="F49" s="263"/>
      <c r="G49" s="442"/>
      <c r="H49" s="443"/>
      <c r="I49" s="288">
        <f>E49-SUM(F49,G49)</f>
        <v>0</v>
      </c>
    </row>
    <row r="50" spans="2:9" s="193" customFormat="1" ht="15" customHeight="1" x14ac:dyDescent="0.3">
      <c r="B50" s="431" t="s">
        <v>2397</v>
      </c>
      <c r="C50" s="431"/>
      <c r="D50" s="431"/>
      <c r="E50" s="264"/>
      <c r="F50" s="263"/>
      <c r="G50" s="442"/>
      <c r="H50" s="443"/>
      <c r="I50" s="288">
        <f>E50-SUM(F50,G50)</f>
        <v>0</v>
      </c>
    </row>
    <row r="51" spans="2:9" s="193" customFormat="1" x14ac:dyDescent="0.3">
      <c r="B51" s="439" t="s">
        <v>2398</v>
      </c>
      <c r="C51" s="440"/>
      <c r="D51" s="440"/>
      <c r="E51" s="440"/>
      <c r="F51" s="440"/>
      <c r="G51" s="440"/>
      <c r="H51" s="440"/>
      <c r="I51" s="441"/>
    </row>
    <row r="52" spans="2:9" s="193" customFormat="1" ht="15" customHeight="1" x14ac:dyDescent="0.3">
      <c r="B52" s="431" t="s">
        <v>2399</v>
      </c>
      <c r="C52" s="431"/>
      <c r="D52" s="431"/>
      <c r="E52" s="264"/>
      <c r="F52" s="263"/>
      <c r="G52" s="442"/>
      <c r="H52" s="443"/>
      <c r="I52" s="288">
        <f t="shared" ref="I52:I61" si="1">E52-SUM(F52,G52)</f>
        <v>0</v>
      </c>
    </row>
    <row r="53" spans="2:9" s="193" customFormat="1" ht="15" customHeight="1" x14ac:dyDescent="0.3">
      <c r="B53" s="431" t="s">
        <v>2400</v>
      </c>
      <c r="C53" s="431"/>
      <c r="D53" s="431"/>
      <c r="E53" s="264"/>
      <c r="F53" s="263"/>
      <c r="G53" s="442"/>
      <c r="H53" s="443"/>
      <c r="I53" s="288">
        <f t="shared" si="1"/>
        <v>0</v>
      </c>
    </row>
    <row r="54" spans="2:9" s="193" customFormat="1" ht="15" customHeight="1" x14ac:dyDescent="0.3">
      <c r="B54" s="431" t="s">
        <v>2401</v>
      </c>
      <c r="C54" s="431"/>
      <c r="D54" s="431"/>
      <c r="E54" s="264"/>
      <c r="F54" s="263"/>
      <c r="G54" s="442"/>
      <c r="H54" s="443"/>
      <c r="I54" s="288">
        <f t="shared" si="1"/>
        <v>0</v>
      </c>
    </row>
    <row r="55" spans="2:9" s="193" customFormat="1" ht="15" customHeight="1" x14ac:dyDescent="0.3">
      <c r="B55" s="431" t="s">
        <v>2402</v>
      </c>
      <c r="C55" s="431"/>
      <c r="D55" s="431"/>
      <c r="E55" s="264"/>
      <c r="F55" s="263"/>
      <c r="G55" s="442"/>
      <c r="H55" s="443"/>
      <c r="I55" s="288">
        <f t="shared" si="1"/>
        <v>0</v>
      </c>
    </row>
    <row r="56" spans="2:9" s="193" customFormat="1" ht="15" customHeight="1" x14ac:dyDescent="0.3">
      <c r="B56" s="431" t="s">
        <v>2403</v>
      </c>
      <c r="C56" s="431"/>
      <c r="D56" s="431"/>
      <c r="E56" s="264"/>
      <c r="F56" s="263"/>
      <c r="G56" s="442"/>
      <c r="H56" s="443"/>
      <c r="I56" s="288">
        <f t="shared" si="1"/>
        <v>0</v>
      </c>
    </row>
    <row r="57" spans="2:9" s="193" customFormat="1" x14ac:dyDescent="0.3">
      <c r="B57" s="431" t="s">
        <v>2404</v>
      </c>
      <c r="C57" s="431"/>
      <c r="D57" s="431"/>
      <c r="E57" s="264"/>
      <c r="F57" s="263"/>
      <c r="G57" s="442"/>
      <c r="H57" s="443"/>
      <c r="I57" s="288">
        <f t="shared" si="1"/>
        <v>0</v>
      </c>
    </row>
    <row r="58" spans="2:9" s="193" customFormat="1" ht="15" customHeight="1" x14ac:dyDescent="0.3">
      <c r="B58" s="431" t="s">
        <v>2405</v>
      </c>
      <c r="C58" s="431"/>
      <c r="D58" s="431"/>
      <c r="E58" s="264"/>
      <c r="F58" s="263"/>
      <c r="G58" s="442"/>
      <c r="H58" s="443"/>
      <c r="I58" s="288">
        <f t="shared" si="1"/>
        <v>0</v>
      </c>
    </row>
    <row r="59" spans="2:9" s="193" customFormat="1" ht="15" customHeight="1" x14ac:dyDescent="0.3">
      <c r="B59" s="458" t="s">
        <v>2406</v>
      </c>
      <c r="C59" s="459"/>
      <c r="D59" s="460"/>
      <c r="E59" s="264"/>
      <c r="F59" s="263"/>
      <c r="G59" s="442"/>
      <c r="H59" s="443"/>
      <c r="I59" s="288">
        <f t="shared" si="1"/>
        <v>0</v>
      </c>
    </row>
    <row r="60" spans="2:9" s="193" customFormat="1" x14ac:dyDescent="0.3">
      <c r="B60" s="265" t="s">
        <v>2387</v>
      </c>
      <c r="C60" s="435"/>
      <c r="D60" s="435"/>
      <c r="E60" s="264"/>
      <c r="F60" s="263"/>
      <c r="G60" s="442"/>
      <c r="H60" s="443"/>
      <c r="I60" s="288">
        <f t="shared" si="1"/>
        <v>0</v>
      </c>
    </row>
    <row r="61" spans="2:9" s="193" customFormat="1" x14ac:dyDescent="0.3">
      <c r="B61" s="290" t="s">
        <v>2387</v>
      </c>
      <c r="C61" s="461"/>
      <c r="D61" s="461"/>
      <c r="E61" s="270"/>
      <c r="F61" s="271"/>
      <c r="G61" s="442"/>
      <c r="H61" s="443"/>
      <c r="I61" s="288">
        <f t="shared" si="1"/>
        <v>0</v>
      </c>
    </row>
    <row r="62" spans="2:9" s="193" customFormat="1" x14ac:dyDescent="0.3">
      <c r="B62" s="439" t="s">
        <v>2407</v>
      </c>
      <c r="C62" s="440"/>
      <c r="D62" s="440"/>
      <c r="E62" s="440"/>
      <c r="F62" s="440"/>
      <c r="G62" s="440"/>
      <c r="H62" s="440"/>
      <c r="I62" s="441"/>
    </row>
    <row r="63" spans="2:9" s="193" customFormat="1" ht="15" customHeight="1" x14ac:dyDescent="0.3">
      <c r="B63" s="431" t="s">
        <v>2408</v>
      </c>
      <c r="C63" s="431"/>
      <c r="D63" s="431"/>
      <c r="E63" s="264"/>
      <c r="F63" s="263"/>
      <c r="G63" s="442"/>
      <c r="H63" s="443"/>
      <c r="I63" s="288">
        <f t="shared" ref="I63:I71" si="2">E63-SUM(F63,G63)</f>
        <v>0</v>
      </c>
    </row>
    <row r="64" spans="2:9" s="193" customFormat="1" ht="15" customHeight="1" x14ac:dyDescent="0.3">
      <c r="B64" s="431" t="s">
        <v>2409</v>
      </c>
      <c r="C64" s="431"/>
      <c r="D64" s="431"/>
      <c r="E64" s="264"/>
      <c r="F64" s="263"/>
      <c r="G64" s="442"/>
      <c r="H64" s="443"/>
      <c r="I64" s="288">
        <f t="shared" si="2"/>
        <v>0</v>
      </c>
    </row>
    <row r="65" spans="2:9" s="193" customFormat="1" ht="15" customHeight="1" x14ac:dyDescent="0.3">
      <c r="B65" s="431" t="s">
        <v>2410</v>
      </c>
      <c r="C65" s="431"/>
      <c r="D65" s="431"/>
      <c r="E65" s="273"/>
      <c r="F65" s="272"/>
      <c r="G65" s="442"/>
      <c r="H65" s="443"/>
      <c r="I65" s="288">
        <f t="shared" si="2"/>
        <v>0</v>
      </c>
    </row>
    <row r="66" spans="2:9" s="193" customFormat="1" ht="15" customHeight="1" x14ac:dyDescent="0.3">
      <c r="B66" s="431" t="s">
        <v>2411</v>
      </c>
      <c r="C66" s="431"/>
      <c r="D66" s="431"/>
      <c r="E66" s="264"/>
      <c r="F66" s="263"/>
      <c r="G66" s="442"/>
      <c r="H66" s="443"/>
      <c r="I66" s="288">
        <f t="shared" si="2"/>
        <v>0</v>
      </c>
    </row>
    <row r="67" spans="2:9" s="193" customFormat="1" ht="15" customHeight="1" x14ac:dyDescent="0.3">
      <c r="B67" s="431" t="s">
        <v>2412</v>
      </c>
      <c r="C67" s="431"/>
      <c r="D67" s="431"/>
      <c r="E67" s="264"/>
      <c r="F67" s="263"/>
      <c r="G67" s="442"/>
      <c r="H67" s="443"/>
      <c r="I67" s="288">
        <f t="shared" si="2"/>
        <v>0</v>
      </c>
    </row>
    <row r="68" spans="2:9" s="193" customFormat="1" ht="15" customHeight="1" x14ac:dyDescent="0.3">
      <c r="B68" s="431" t="s">
        <v>2413</v>
      </c>
      <c r="C68" s="431"/>
      <c r="D68" s="431"/>
      <c r="E68" s="264"/>
      <c r="F68" s="263"/>
      <c r="G68" s="442"/>
      <c r="H68" s="443"/>
      <c r="I68" s="288">
        <f t="shared" si="2"/>
        <v>0</v>
      </c>
    </row>
    <row r="69" spans="2:9" s="193" customFormat="1" x14ac:dyDescent="0.3">
      <c r="B69" s="265" t="s">
        <v>2387</v>
      </c>
      <c r="C69" s="435"/>
      <c r="D69" s="435"/>
      <c r="E69" s="264"/>
      <c r="F69" s="263"/>
      <c r="G69" s="442"/>
      <c r="H69" s="443"/>
      <c r="I69" s="288">
        <f t="shared" si="2"/>
        <v>0</v>
      </c>
    </row>
    <row r="70" spans="2:9" s="193" customFormat="1" x14ac:dyDescent="0.3">
      <c r="B70" s="265" t="s">
        <v>2387</v>
      </c>
      <c r="C70" s="435"/>
      <c r="D70" s="435"/>
      <c r="E70" s="264"/>
      <c r="F70" s="263"/>
      <c r="G70" s="442"/>
      <c r="H70" s="443"/>
      <c r="I70" s="288">
        <f t="shared" si="2"/>
        <v>0</v>
      </c>
    </row>
    <row r="71" spans="2:9" s="193" customFormat="1" x14ac:dyDescent="0.3">
      <c r="B71" s="469" t="s">
        <v>2414</v>
      </c>
      <c r="C71" s="469"/>
      <c r="D71" s="469"/>
      <c r="E71" s="277">
        <f>SUM(E47:E70)</f>
        <v>0</v>
      </c>
      <c r="F71" s="278">
        <f>SUM(F47:F70)</f>
        <v>0</v>
      </c>
      <c r="G71" s="462">
        <f>SUM(G47:G70)</f>
        <v>0</v>
      </c>
      <c r="H71" s="463"/>
      <c r="I71" s="291">
        <f t="shared" si="2"/>
        <v>0</v>
      </c>
    </row>
    <row r="72" spans="2:9" s="193" customFormat="1" ht="15" customHeight="1" x14ac:dyDescent="0.3">
      <c r="B72" s="447" t="s">
        <v>2415</v>
      </c>
      <c r="C72" s="448"/>
      <c r="D72" s="449"/>
      <c r="E72" s="277">
        <f ca="1">E33-E71</f>
        <v>0</v>
      </c>
      <c r="F72" s="292">
        <f ca="1">F33-F71</f>
        <v>0</v>
      </c>
      <c r="G72" s="462">
        <f>(G33+H33)-G71</f>
        <v>0</v>
      </c>
      <c r="H72" s="463"/>
      <c r="I72" s="291">
        <f ca="1">E72-SUM(F72,G72)</f>
        <v>0</v>
      </c>
    </row>
    <row r="73" spans="2:9" s="193" customFormat="1" ht="20.149999999999999" customHeight="1" x14ac:dyDescent="0.3">
      <c r="B73" s="464" t="str">
        <f ca="1">IF(AND(APPLICATION_BUDGET_CERT_FLG=TRUE,BUDGET_EXCESSDEFICIENCY_BALANCE_FLAG=FALSE),
"All values in Excess/(Deficiency) row must equal zero",
"")</f>
        <v/>
      </c>
      <c r="C73" s="464"/>
      <c r="D73" s="464"/>
      <c r="E73" s="464"/>
      <c r="F73" s="464"/>
      <c r="G73" s="464"/>
      <c r="H73" s="464"/>
      <c r="I73" s="464"/>
    </row>
    <row r="74" spans="2:9" ht="15" customHeight="1" x14ac:dyDescent="0.3"/>
    <row r="75" spans="2:9" ht="15" hidden="1" customHeight="1" x14ac:dyDescent="0.3">
      <c r="B75" s="308"/>
      <c r="C75" s="308"/>
      <c r="D75" s="308"/>
      <c r="E75" s="308"/>
      <c r="F75" s="308"/>
      <c r="G75" s="308"/>
      <c r="H75" s="308"/>
    </row>
    <row r="76" spans="2:9" s="309" customFormat="1" ht="20.149999999999999" hidden="1" customHeight="1" x14ac:dyDescent="0.35">
      <c r="B76" s="466" t="s">
        <v>2741</v>
      </c>
      <c r="C76" s="467"/>
      <c r="D76" s="467"/>
      <c r="E76" s="467"/>
      <c r="F76" s="467"/>
      <c r="G76" s="467"/>
      <c r="H76" s="467"/>
      <c r="I76" s="468"/>
    </row>
    <row r="77" spans="2:9" s="309" customFormat="1" ht="20.149999999999999" hidden="1" customHeight="1" x14ac:dyDescent="0.35">
      <c r="B77" s="465" t="s">
        <v>2742</v>
      </c>
      <c r="C77" s="465"/>
      <c r="D77" s="465"/>
      <c r="E77" s="465"/>
      <c r="F77" s="465"/>
      <c r="G77" s="465"/>
      <c r="H77" s="465"/>
      <c r="I77" s="312" t="b">
        <f ca="1">COUNTIF(I20:I32,"&lt;&gt;0")=0</f>
        <v>1</v>
      </c>
    </row>
    <row r="78" spans="2:9" s="309" customFormat="1" ht="20.149999999999999" hidden="1" customHeight="1" x14ac:dyDescent="0.35">
      <c r="B78" s="465" t="s">
        <v>2743</v>
      </c>
      <c r="C78" s="465"/>
      <c r="D78" s="465"/>
      <c r="E78" s="465"/>
      <c r="F78" s="465"/>
      <c r="G78" s="465"/>
      <c r="H78" s="465"/>
      <c r="I78" s="313" t="b">
        <f>(COUNTIF(I47:I50,"&lt;&gt;0")+COUNTIF(I52:I61,"&lt;&gt;0") +COUNTIF(I63:I70,"&lt;&gt;0"))=0</f>
        <v>1</v>
      </c>
    </row>
    <row r="79" spans="2:9" s="309" customFormat="1" ht="20.149999999999999" hidden="1" customHeight="1" x14ac:dyDescent="0.35">
      <c r="B79" s="465" t="s">
        <v>2744</v>
      </c>
      <c r="C79" s="465"/>
      <c r="D79" s="465"/>
      <c r="E79" s="465"/>
      <c r="F79" s="465"/>
      <c r="G79" s="465"/>
      <c r="H79" s="465"/>
      <c r="I79" s="311" t="b">
        <f ca="1">COUNTIF(E72:G72,"&lt;&gt;0")=0</f>
        <v>1</v>
      </c>
    </row>
    <row r="80" spans="2:9" s="309" customFormat="1" ht="20.149999999999999" hidden="1" customHeight="1" x14ac:dyDescent="0.35">
      <c r="I80" s="310"/>
    </row>
  </sheetData>
  <sheetProtection algorithmName="SHA-512" hashValue="uoagCHAhKvWiU2E/TOgSndKRM5xMkUhGoU25AeshU3D7lhku82Re0Pu6XMYeOF/OE/obPwKxRlpW0jLTwgW6HQ==" saltValue="7XS/kZdZz9pl7Ixrq26a+Q==" spinCount="100000" sheet="1" selectLockedCells="1"/>
  <mergeCells count="104">
    <mergeCell ref="G71:H71"/>
    <mergeCell ref="G72:H72"/>
    <mergeCell ref="B73:I73"/>
    <mergeCell ref="B14:C14"/>
    <mergeCell ref="D14:I14"/>
    <mergeCell ref="B16:I16"/>
    <mergeCell ref="B77:H77"/>
    <mergeCell ref="B78:H78"/>
    <mergeCell ref="B79:H79"/>
    <mergeCell ref="B76:I76"/>
    <mergeCell ref="G65:H65"/>
    <mergeCell ref="G66:H66"/>
    <mergeCell ref="G67:H67"/>
    <mergeCell ref="G68:H68"/>
    <mergeCell ref="G59:H59"/>
    <mergeCell ref="G60:H60"/>
    <mergeCell ref="G61:H61"/>
    <mergeCell ref="G63:H63"/>
    <mergeCell ref="G64:H64"/>
    <mergeCell ref="B67:D67"/>
    <mergeCell ref="B68:D68"/>
    <mergeCell ref="C69:D69"/>
    <mergeCell ref="C70:D70"/>
    <mergeCell ref="B71:D71"/>
    <mergeCell ref="B72:D72"/>
    <mergeCell ref="G69:H69"/>
    <mergeCell ref="G70:H70"/>
    <mergeCell ref="F18:I18"/>
    <mergeCell ref="F44:I44"/>
    <mergeCell ref="B46:I46"/>
    <mergeCell ref="B51:I51"/>
    <mergeCell ref="G45:H45"/>
    <mergeCell ref="G47:H47"/>
    <mergeCell ref="G48:H48"/>
    <mergeCell ref="G49:H49"/>
    <mergeCell ref="G50:H50"/>
    <mergeCell ref="B20:D20"/>
    <mergeCell ref="B19:D19"/>
    <mergeCell ref="B18:E18"/>
    <mergeCell ref="G53:H53"/>
    <mergeCell ref="B66:D66"/>
    <mergeCell ref="B55:D55"/>
    <mergeCell ref="B56:D56"/>
    <mergeCell ref="B57:D57"/>
    <mergeCell ref="B58:D58"/>
    <mergeCell ref="B59:D59"/>
    <mergeCell ref="C60:D60"/>
    <mergeCell ref="C61:D61"/>
    <mergeCell ref="B63:D63"/>
    <mergeCell ref="B64:D64"/>
    <mergeCell ref="B65:D65"/>
    <mergeCell ref="B62:I62"/>
    <mergeCell ref="G55:H55"/>
    <mergeCell ref="G56:H56"/>
    <mergeCell ref="G57:H57"/>
    <mergeCell ref="G58:H58"/>
    <mergeCell ref="B40:C40"/>
    <mergeCell ref="D40:I40"/>
    <mergeCell ref="G52:H52"/>
    <mergeCell ref="B42:I42"/>
    <mergeCell ref="B45:D45"/>
    <mergeCell ref="B47:D47"/>
    <mergeCell ref="B48:D48"/>
    <mergeCell ref="B49:D49"/>
    <mergeCell ref="B50:D50"/>
    <mergeCell ref="G54:H54"/>
    <mergeCell ref="C32:D32"/>
    <mergeCell ref="B21:D21"/>
    <mergeCell ref="B22:D22"/>
    <mergeCell ref="B23:D23"/>
    <mergeCell ref="B24:D24"/>
    <mergeCell ref="B25:D25"/>
    <mergeCell ref="B26:D26"/>
    <mergeCell ref="B27:D27"/>
    <mergeCell ref="B28:D28"/>
    <mergeCell ref="B29:D29"/>
    <mergeCell ref="B30:D30"/>
    <mergeCell ref="C31:D31"/>
    <mergeCell ref="B35:I35"/>
    <mergeCell ref="B54:D54"/>
    <mergeCell ref="B37:C37"/>
    <mergeCell ref="D37:I37"/>
    <mergeCell ref="B33:D33"/>
    <mergeCell ref="B52:D52"/>
    <mergeCell ref="B53:D53"/>
    <mergeCell ref="B38:C38"/>
    <mergeCell ref="D38:I38"/>
    <mergeCell ref="B39:C39"/>
    <mergeCell ref="D39:I39"/>
    <mergeCell ref="B4:I4"/>
    <mergeCell ref="B5:D5"/>
    <mergeCell ref="E5:I5"/>
    <mergeCell ref="B6:D6"/>
    <mergeCell ref="E6:I6"/>
    <mergeCell ref="D11:I11"/>
    <mergeCell ref="B12:C12"/>
    <mergeCell ref="D12:I12"/>
    <mergeCell ref="B13:C13"/>
    <mergeCell ref="D13:I13"/>
    <mergeCell ref="H7:I7"/>
    <mergeCell ref="B7:D7"/>
    <mergeCell ref="F7:G7"/>
    <mergeCell ref="B9:I9"/>
    <mergeCell ref="B11:C11"/>
  </mergeCells>
  <conditionalFormatting sqref="B16:B17">
    <cfRule type="notContainsBlanks" dxfId="9" priority="1">
      <formula>LEN(TRIM(B16))&gt;0</formula>
    </cfRule>
  </conditionalFormatting>
  <conditionalFormatting sqref="B42:B43 B73">
    <cfRule type="notContainsBlanks" dxfId="8" priority="2">
      <formula>LEN(TRIM(B42))&gt;0</formula>
    </cfRule>
  </conditionalFormatting>
  <conditionalFormatting sqref="E20:I32 E47:I50 E52:I61 E63:I70">
    <cfRule type="expression" dxfId="7" priority="5">
      <formula>AND($I20&lt;&gt;0,APPLICATION_BUDGET_CERT_FLG=TRUE)</formula>
    </cfRule>
  </conditionalFormatting>
  <conditionalFormatting sqref="E72:I72">
    <cfRule type="expression" dxfId="6" priority="4">
      <formula>AND(APPLICATION_BUDGET_CERT_FLG=TRUE,BUDGET_EXCESSDEFICIENCY_BALANCE_FLAG=FALSE)</formula>
    </cfRule>
  </conditionalFormatting>
  <dataValidations count="1">
    <dataValidation type="whole" operator="greaterThanOrEqual" allowBlank="1" showInputMessage="1" showErrorMessage="1" error="Value must be greater than 0; whole numbers only, round to nearest dollar" sqref="E21:E32 G21:H32 E47:H50 E52:H61 E63:H70" xr:uid="{00000000-0002-0000-0200-000000000000}">
      <formula1>0</formula1>
    </dataValidation>
  </dataValidations>
  <printOptions horizontalCentered="1"/>
  <pageMargins left="0.25" right="0.25" top="0.2" bottom="0.25" header="0.2" footer="0.3"/>
  <pageSetup scale="94" fitToHeight="0" orientation="portrait" r:id="rId1"/>
  <headerFooter>
    <oddFooter>Page &amp;P of &amp;N&amp;L&amp;1#&amp;"Calibri"&amp;9&amp;K008000FHLBank San Francisco | Public</oddFooter>
  </headerFooter>
  <rowBreaks count="1" manualBreakCount="1">
    <brk id="34"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W33"/>
  <sheetViews>
    <sheetView showGridLines="0" showRowColHeaders="0" zoomScale="110" zoomScaleNormal="110" workbookViewId="0">
      <pane ySplit="2" topLeftCell="A3" activePane="bottomLeft" state="frozen"/>
      <selection activeCell="P7" sqref="P7:S7"/>
      <selection pane="bottomLeft" activeCell="D18" sqref="D18:S22"/>
    </sheetView>
  </sheetViews>
  <sheetFormatPr defaultColWidth="0" defaultRowHeight="12.5" zeroHeight="1" x14ac:dyDescent="0.25"/>
  <cols>
    <col min="1" max="1" width="14.7265625" style="176" hidden="1" customWidth="1"/>
    <col min="2" max="2" width="17.26953125" style="176" hidden="1" customWidth="1"/>
    <col min="3" max="3" width="2.453125" style="176" customWidth="1"/>
    <col min="4" max="4" width="10.7265625" style="176" customWidth="1"/>
    <col min="5" max="5" width="2.7265625" style="176" customWidth="1"/>
    <col min="6" max="6" width="10.7265625" style="176" customWidth="1"/>
    <col min="7" max="7" width="2.7265625" style="176" customWidth="1"/>
    <col min="8" max="8" width="10.7265625" style="176" customWidth="1"/>
    <col min="9" max="9" width="2.7265625" style="176" customWidth="1"/>
    <col min="10" max="10" width="10.7265625" style="176" customWidth="1"/>
    <col min="11" max="11" width="2.7265625" style="176" customWidth="1"/>
    <col min="12" max="12" width="10.7265625" style="176" customWidth="1"/>
    <col min="13" max="13" width="2.7265625" style="176" customWidth="1"/>
    <col min="14" max="14" width="10.7265625" style="176" customWidth="1"/>
    <col min="15" max="15" width="2.7265625" style="176" customWidth="1"/>
    <col min="16" max="16" width="10.7265625" style="176" customWidth="1"/>
    <col min="17" max="17" width="2.7265625" style="176" customWidth="1"/>
    <col min="18" max="18" width="10.7265625" style="176" customWidth="1"/>
    <col min="19" max="19" width="2.7265625" style="176" customWidth="1"/>
    <col min="20" max="20" width="2.453125" style="176" customWidth="1"/>
    <col min="21" max="16384" width="9.26953125" style="176" hidden="1"/>
  </cols>
  <sheetData>
    <row r="1" spans="1:23" ht="40.5" customHeight="1" thickBot="1" x14ac:dyDescent="0.3">
      <c r="A1" s="173"/>
      <c r="B1" s="173"/>
      <c r="C1" s="174"/>
      <c r="D1" s="174"/>
      <c r="E1" s="175"/>
      <c r="F1" s="174"/>
      <c r="G1" s="175"/>
      <c r="H1" s="174"/>
      <c r="I1" s="175"/>
      <c r="J1" s="174"/>
      <c r="K1" s="175"/>
      <c r="L1" s="174"/>
      <c r="M1" s="175"/>
      <c r="N1" s="174"/>
      <c r="O1" s="175"/>
      <c r="P1" s="174"/>
      <c r="Q1" s="175"/>
      <c r="R1" s="174"/>
      <c r="S1" s="175"/>
      <c r="T1" s="174"/>
    </row>
    <row r="2" spans="1:23" ht="21" customHeight="1" x14ac:dyDescent="0.25">
      <c r="A2" s="173"/>
      <c r="B2" s="173"/>
      <c r="C2" s="187" t="s">
        <v>2344</v>
      </c>
      <c r="D2" s="171"/>
      <c r="E2" s="177"/>
      <c r="F2" s="177"/>
      <c r="G2" s="177"/>
      <c r="H2" s="177"/>
      <c r="I2" s="177"/>
      <c r="J2" s="177"/>
      <c r="K2" s="177"/>
      <c r="L2" s="177"/>
      <c r="M2" s="177"/>
      <c r="N2" s="177"/>
      <c r="O2" s="177"/>
      <c r="P2" s="177"/>
      <c r="Q2" s="177"/>
      <c r="R2" s="177"/>
      <c r="S2" s="177"/>
      <c r="T2" s="177"/>
      <c r="V2" s="178"/>
      <c r="W2" s="179"/>
    </row>
    <row r="3" spans="1:23" ht="22.15" customHeight="1" x14ac:dyDescent="0.25">
      <c r="A3" s="173" t="s">
        <v>244</v>
      </c>
      <c r="B3" s="173" t="str">
        <f>"eForm Version "&amp;CONFIG_EFORM_VERSION_NO</f>
        <v>eForm Version 5.0.0</v>
      </c>
      <c r="C3" s="180"/>
    </row>
    <row r="4" spans="1:23" ht="22.15" customHeight="1" x14ac:dyDescent="0.25">
      <c r="A4" s="173"/>
      <c r="B4" s="173"/>
    </row>
    <row r="5" spans="1:23" ht="22.15" customHeight="1" thickBot="1" x14ac:dyDescent="0.35">
      <c r="A5" s="173"/>
      <c r="B5" s="173"/>
      <c r="D5" s="181" t="s">
        <v>2228</v>
      </c>
      <c r="E5" s="182"/>
      <c r="F5" s="182"/>
      <c r="G5" s="182"/>
      <c r="H5" s="182"/>
      <c r="I5" s="182"/>
      <c r="J5" s="182"/>
      <c r="K5" s="182"/>
      <c r="L5" s="182"/>
      <c r="M5" s="182"/>
      <c r="N5" s="182"/>
      <c r="O5" s="182"/>
      <c r="P5" s="182"/>
      <c r="Q5" s="182"/>
      <c r="R5" s="182"/>
      <c r="S5" s="182"/>
    </row>
    <row r="6" spans="1:23" ht="22.15" customHeight="1" x14ac:dyDescent="0.25">
      <c r="A6" s="173"/>
      <c r="B6" s="173"/>
    </row>
    <row r="7" spans="1:23" ht="22.15" customHeight="1" x14ac:dyDescent="0.25">
      <c r="A7" s="173"/>
      <c r="B7" s="173"/>
      <c r="D7" s="178" t="s">
        <v>2345</v>
      </c>
      <c r="P7" s="471">
        <v>2026</v>
      </c>
      <c r="Q7" s="471"/>
      <c r="R7" s="471"/>
      <c r="S7" s="471"/>
    </row>
    <row r="8" spans="1:23" ht="22.15" customHeight="1" x14ac:dyDescent="0.25">
      <c r="A8" s="173"/>
      <c r="B8" s="173"/>
      <c r="D8" s="178" t="s">
        <v>2346</v>
      </c>
      <c r="P8" s="472">
        <v>200000</v>
      </c>
      <c r="Q8" s="472"/>
      <c r="R8" s="472"/>
      <c r="S8" s="472"/>
    </row>
    <row r="9" spans="1:23" ht="22.15" customHeight="1" x14ac:dyDescent="0.25">
      <c r="A9" s="173"/>
      <c r="B9" s="173"/>
      <c r="D9" s="178" t="s">
        <v>2347</v>
      </c>
      <c r="P9" s="473">
        <v>46266</v>
      </c>
      <c r="Q9" s="473"/>
      <c r="R9" s="473"/>
      <c r="S9" s="473"/>
    </row>
    <row r="10" spans="1:23" ht="22.15" customHeight="1" x14ac:dyDescent="0.25">
      <c r="A10" s="173"/>
      <c r="B10" s="173"/>
      <c r="D10" s="178" t="s">
        <v>2348</v>
      </c>
      <c r="P10" s="473">
        <v>46843</v>
      </c>
      <c r="Q10" s="473"/>
      <c r="R10" s="473"/>
      <c r="S10" s="473"/>
    </row>
    <row r="11" spans="1:23" ht="22.15" customHeight="1" x14ac:dyDescent="0.25">
      <c r="A11" s="173"/>
      <c r="B11" s="173"/>
      <c r="D11" s="178"/>
      <c r="P11" s="183"/>
      <c r="Q11" s="183"/>
      <c r="R11" s="183"/>
      <c r="S11" s="183"/>
    </row>
    <row r="12" spans="1:23" ht="22.15" customHeight="1" x14ac:dyDescent="0.25">
      <c r="A12" s="173"/>
      <c r="B12" s="173"/>
      <c r="D12" s="178"/>
      <c r="P12" s="183"/>
      <c r="Q12" s="183"/>
      <c r="R12" s="183"/>
      <c r="S12" s="183"/>
    </row>
    <row r="13" spans="1:23" ht="22.15" customHeight="1" thickBot="1" x14ac:dyDescent="0.35">
      <c r="A13" s="173"/>
      <c r="B13" s="173"/>
      <c r="D13" s="181" t="s">
        <v>2229</v>
      </c>
      <c r="E13" s="182"/>
      <c r="F13" s="182"/>
      <c r="G13" s="182"/>
      <c r="H13" s="182"/>
      <c r="I13" s="182"/>
      <c r="J13" s="182"/>
      <c r="K13" s="182"/>
      <c r="L13" s="182"/>
      <c r="M13" s="182"/>
      <c r="N13" s="182"/>
      <c r="O13" s="182"/>
      <c r="P13" s="182"/>
      <c r="Q13" s="182"/>
      <c r="R13" s="182"/>
      <c r="S13" s="182"/>
    </row>
    <row r="14" spans="1:23" ht="22.15" customHeight="1" x14ac:dyDescent="0.3">
      <c r="A14" s="173"/>
      <c r="B14" s="173"/>
      <c r="D14" s="184"/>
      <c r="E14" s="185"/>
      <c r="F14" s="185"/>
      <c r="G14" s="185"/>
      <c r="H14" s="185"/>
      <c r="I14" s="185"/>
      <c r="J14" s="185"/>
      <c r="K14" s="185"/>
      <c r="L14" s="185"/>
      <c r="M14" s="185"/>
      <c r="N14" s="185"/>
      <c r="O14" s="185"/>
      <c r="P14" s="185"/>
      <c r="Q14" s="185"/>
      <c r="R14" s="185"/>
      <c r="S14" s="185"/>
    </row>
    <row r="15" spans="1:23" ht="22.15" customHeight="1" x14ac:dyDescent="0.25">
      <c r="A15" s="173"/>
      <c r="B15" s="173"/>
      <c r="D15" s="178" t="s">
        <v>2739</v>
      </c>
      <c r="L15" s="185"/>
      <c r="M15" s="185"/>
      <c r="N15" s="185"/>
      <c r="O15" s="185"/>
      <c r="P15" s="185"/>
      <c r="Q15" s="185"/>
      <c r="R15" s="185"/>
      <c r="S15" s="185"/>
    </row>
    <row r="16" spans="1:23" ht="22.15" customHeight="1" x14ac:dyDescent="0.25">
      <c r="A16" s="173"/>
      <c r="B16" s="173"/>
      <c r="D16" s="483" t="s">
        <v>2859</v>
      </c>
      <c r="E16" s="484"/>
      <c r="F16" s="484"/>
      <c r="G16" s="484"/>
      <c r="H16" s="484"/>
      <c r="I16" s="484"/>
      <c r="J16" s="484"/>
      <c r="K16" s="484"/>
      <c r="L16" s="484"/>
      <c r="M16" s="484"/>
      <c r="N16" s="484"/>
      <c r="O16" s="484"/>
      <c r="P16" s="484"/>
      <c r="Q16" s="484"/>
      <c r="R16" s="484"/>
      <c r="S16" s="485"/>
    </row>
    <row r="17" spans="1:20" ht="22.15" customHeight="1" x14ac:dyDescent="0.25">
      <c r="A17" s="173"/>
      <c r="B17" s="173"/>
      <c r="D17" s="178" t="s">
        <v>2740</v>
      </c>
      <c r="L17" s="185"/>
      <c r="M17" s="185"/>
      <c r="N17" s="185"/>
      <c r="O17" s="185"/>
      <c r="P17" s="185"/>
      <c r="Q17" s="185"/>
      <c r="R17" s="185"/>
      <c r="S17" s="185"/>
    </row>
    <row r="18" spans="1:20" ht="22.15" customHeight="1" x14ac:dyDescent="0.25">
      <c r="A18" s="173"/>
      <c r="B18" s="173"/>
      <c r="D18" s="474" t="s">
        <v>2860</v>
      </c>
      <c r="E18" s="475"/>
      <c r="F18" s="475"/>
      <c r="G18" s="475"/>
      <c r="H18" s="475"/>
      <c r="I18" s="475"/>
      <c r="J18" s="475"/>
      <c r="K18" s="475"/>
      <c r="L18" s="475"/>
      <c r="M18" s="475"/>
      <c r="N18" s="475"/>
      <c r="O18" s="475"/>
      <c r="P18" s="475"/>
      <c r="Q18" s="475"/>
      <c r="R18" s="475"/>
      <c r="S18" s="476"/>
    </row>
    <row r="19" spans="1:20" ht="22.15" customHeight="1" x14ac:dyDescent="0.25">
      <c r="A19" s="173"/>
      <c r="B19" s="173"/>
      <c r="D19" s="477"/>
      <c r="E19" s="478"/>
      <c r="F19" s="478"/>
      <c r="G19" s="478"/>
      <c r="H19" s="478"/>
      <c r="I19" s="478"/>
      <c r="J19" s="478"/>
      <c r="K19" s="478"/>
      <c r="L19" s="478"/>
      <c r="M19" s="478"/>
      <c r="N19" s="478"/>
      <c r="O19" s="478"/>
      <c r="P19" s="478"/>
      <c r="Q19" s="478"/>
      <c r="R19" s="478"/>
      <c r="S19" s="479"/>
    </row>
    <row r="20" spans="1:20" ht="22.15" customHeight="1" x14ac:dyDescent="0.25">
      <c r="A20" s="173"/>
      <c r="B20" s="173"/>
      <c r="D20" s="477"/>
      <c r="E20" s="478"/>
      <c r="F20" s="478"/>
      <c r="G20" s="478"/>
      <c r="H20" s="478"/>
      <c r="I20" s="478"/>
      <c r="J20" s="478"/>
      <c r="K20" s="478"/>
      <c r="L20" s="478"/>
      <c r="M20" s="478"/>
      <c r="N20" s="478"/>
      <c r="O20" s="478"/>
      <c r="P20" s="478"/>
      <c r="Q20" s="478"/>
      <c r="R20" s="478"/>
      <c r="S20" s="479"/>
    </row>
    <row r="21" spans="1:20" ht="22.15" customHeight="1" x14ac:dyDescent="0.25">
      <c r="A21" s="173"/>
      <c r="B21" s="173"/>
      <c r="D21" s="477"/>
      <c r="E21" s="478"/>
      <c r="F21" s="478"/>
      <c r="G21" s="478"/>
      <c r="H21" s="478"/>
      <c r="I21" s="478"/>
      <c r="J21" s="478"/>
      <c r="K21" s="478"/>
      <c r="L21" s="478"/>
      <c r="M21" s="478"/>
      <c r="N21" s="478"/>
      <c r="O21" s="478"/>
      <c r="P21" s="478"/>
      <c r="Q21" s="478"/>
      <c r="R21" s="478"/>
      <c r="S21" s="479"/>
    </row>
    <row r="22" spans="1:20" ht="22.15" customHeight="1" x14ac:dyDescent="0.25">
      <c r="A22" s="173"/>
      <c r="B22" s="173"/>
      <c r="D22" s="480"/>
      <c r="E22" s="481"/>
      <c r="F22" s="481"/>
      <c r="G22" s="481"/>
      <c r="H22" s="481"/>
      <c r="I22" s="481"/>
      <c r="J22" s="481"/>
      <c r="K22" s="481"/>
      <c r="L22" s="481"/>
      <c r="M22" s="481"/>
      <c r="N22" s="481"/>
      <c r="O22" s="481"/>
      <c r="P22" s="481"/>
      <c r="Q22" s="481"/>
      <c r="R22" s="481"/>
      <c r="S22" s="482"/>
    </row>
    <row r="23" spans="1:20" ht="22.15" customHeight="1" x14ac:dyDescent="0.25">
      <c r="A23" s="173"/>
      <c r="B23" s="173"/>
      <c r="D23" s="178"/>
      <c r="P23" s="183"/>
      <c r="Q23" s="183"/>
      <c r="R23" s="183"/>
      <c r="S23" s="183"/>
    </row>
    <row r="24" spans="1:20" ht="22.15" customHeight="1" x14ac:dyDescent="0.25">
      <c r="A24" s="173"/>
      <c r="B24" s="173"/>
    </row>
    <row r="25" spans="1:20" ht="22.15" customHeight="1" thickBot="1" x14ac:dyDescent="0.35">
      <c r="A25" s="173"/>
      <c r="B25" s="173"/>
      <c r="D25" s="181" t="s">
        <v>2332</v>
      </c>
      <c r="E25" s="182"/>
      <c r="F25" s="182"/>
      <c r="G25" s="182"/>
      <c r="H25" s="182"/>
      <c r="I25" s="182"/>
      <c r="J25" s="182"/>
      <c r="K25" s="182"/>
      <c r="L25" s="182"/>
      <c r="M25" s="182"/>
      <c r="N25" s="182"/>
      <c r="O25" s="182"/>
      <c r="P25" s="182"/>
      <c r="Q25" s="182"/>
      <c r="R25" s="182"/>
      <c r="S25" s="182"/>
    </row>
    <row r="26" spans="1:20" ht="22.15" customHeight="1" x14ac:dyDescent="0.25">
      <c r="A26" s="173"/>
      <c r="B26" s="173"/>
    </row>
    <row r="27" spans="1:20" ht="22.15" customHeight="1" x14ac:dyDescent="0.25">
      <c r="A27" s="173"/>
      <c r="B27" s="173"/>
      <c r="D27" s="178" t="s">
        <v>2333</v>
      </c>
      <c r="P27" s="470">
        <v>1000</v>
      </c>
      <c r="Q27" s="470"/>
      <c r="R27" s="470"/>
      <c r="S27" s="470"/>
    </row>
    <row r="28" spans="1:20" ht="22.15" customHeight="1" x14ac:dyDescent="0.25">
      <c r="A28" s="173"/>
      <c r="B28" s="173"/>
      <c r="D28" s="178" t="s">
        <v>2334</v>
      </c>
      <c r="P28" s="470">
        <v>2000</v>
      </c>
      <c r="Q28" s="470"/>
      <c r="R28" s="470"/>
      <c r="S28" s="470"/>
    </row>
    <row r="29" spans="1:20" ht="22.15" customHeight="1" x14ac:dyDescent="0.25">
      <c r="A29" s="173"/>
      <c r="B29" s="173"/>
      <c r="D29" s="178" t="s">
        <v>2335</v>
      </c>
      <c r="P29" s="470">
        <v>3000</v>
      </c>
      <c r="Q29" s="470"/>
      <c r="R29" s="470"/>
      <c r="S29" s="470"/>
    </row>
    <row r="30" spans="1:20" ht="22.15" customHeight="1" x14ac:dyDescent="0.25">
      <c r="A30" s="173"/>
      <c r="B30" s="173"/>
      <c r="D30" s="178" t="s">
        <v>2336</v>
      </c>
      <c r="P30" s="470">
        <v>4000</v>
      </c>
      <c r="Q30" s="470"/>
      <c r="R30" s="470"/>
      <c r="S30" s="470"/>
    </row>
    <row r="31" spans="1:20" ht="22.15" customHeight="1" x14ac:dyDescent="0.25">
      <c r="A31" s="173"/>
      <c r="B31" s="173"/>
      <c r="D31" s="186"/>
    </row>
    <row r="32" spans="1:20" ht="22.15" hidden="1" customHeight="1" x14ac:dyDescent="0.25">
      <c r="A32" s="173"/>
      <c r="B32" s="188"/>
      <c r="C32" s="185"/>
      <c r="D32" s="185"/>
      <c r="E32" s="185"/>
      <c r="F32" s="185"/>
      <c r="G32" s="185"/>
      <c r="H32" s="185"/>
      <c r="I32" s="185"/>
      <c r="J32" s="185"/>
      <c r="K32" s="185"/>
      <c r="L32" s="185"/>
      <c r="M32" s="185"/>
      <c r="N32" s="185"/>
      <c r="O32" s="185"/>
      <c r="P32" s="185"/>
      <c r="Q32" s="185"/>
      <c r="R32" s="185"/>
      <c r="S32" s="185"/>
      <c r="T32" s="185"/>
    </row>
    <row r="33" spans="1:20" ht="22.15" hidden="1" customHeight="1" x14ac:dyDescent="0.25">
      <c r="A33" s="173"/>
      <c r="B33" s="188"/>
      <c r="C33" s="185"/>
      <c r="D33" s="185"/>
      <c r="E33" s="185"/>
      <c r="F33" s="185"/>
      <c r="G33" s="185"/>
      <c r="H33" s="185"/>
      <c r="I33" s="185"/>
      <c r="J33" s="185"/>
      <c r="K33" s="185"/>
      <c r="L33" s="185"/>
      <c r="M33" s="185"/>
      <c r="N33" s="185"/>
      <c r="O33" s="185"/>
      <c r="P33" s="185"/>
      <c r="Q33" s="185"/>
      <c r="R33" s="185"/>
      <c r="S33" s="185"/>
      <c r="T33" s="185"/>
    </row>
  </sheetData>
  <sheetProtection algorithmName="SHA-512" hashValue="UNRopuhmkpY8zfApll/GggxpoP+dELHW2kqIiT5pLFmmV1Xt2ppfqSvJOv09wsBL3+LdFKlv2hbsre5X2SW+tQ==" saltValue="dfo4SXq7DASHtP8n0w6QCg==" spinCount="100000" sheet="1" selectLockedCells="1"/>
  <dataConsolidate/>
  <mergeCells count="10">
    <mergeCell ref="P28:S28"/>
    <mergeCell ref="P29:S29"/>
    <mergeCell ref="P30:S30"/>
    <mergeCell ref="P7:S7"/>
    <mergeCell ref="P8:S8"/>
    <mergeCell ref="P27:S27"/>
    <mergeCell ref="P9:S9"/>
    <mergeCell ref="P10:S10"/>
    <mergeCell ref="D18:S22"/>
    <mergeCell ref="D16:S16"/>
  </mergeCells>
  <dataValidations count="3">
    <dataValidation type="decimal" allowBlank="1" showInputMessage="1" showErrorMessage="1" sqref="P8:S10" xr:uid="{00000000-0002-0000-0500-000000000000}">
      <formula1>0</formula1>
      <formula2>999999999999</formula2>
    </dataValidation>
    <dataValidation type="textLength" allowBlank="1" showInputMessage="1" showErrorMessage="1" sqref="P7:S7" xr:uid="{00000000-0002-0000-0500-000001000000}">
      <formula1>0</formula1>
      <formula2>5</formula2>
    </dataValidation>
    <dataValidation type="whole" operator="greaterThan" allowBlank="1" showInputMessage="1" showErrorMessage="1" sqref="P27:S30" xr:uid="{00000000-0002-0000-0500-000002000000}">
      <formula1>0</formula1>
    </dataValidation>
  </dataValidations>
  <pageMargins left="0.7" right="0.7" top="0.75" bottom="0.75" header="0.3" footer="0.3"/>
  <pageSetup scale="75" orientation="portrait" r:id="rId1"/>
  <headerFooter>
    <oddFooter>&amp;R&amp;9&amp;P of &amp;N&amp;L&amp;1#&amp;"Calibri"&amp;9&amp;K008000FHLBank San Francisco | 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18"/>
  <sheetViews>
    <sheetView workbookViewId="0">
      <selection activeCell="M3" sqref="M3"/>
    </sheetView>
  </sheetViews>
  <sheetFormatPr defaultColWidth="9.26953125" defaultRowHeight="13" x14ac:dyDescent="0.3"/>
  <cols>
    <col min="1" max="1" width="20.26953125" style="1" customWidth="1"/>
    <col min="2" max="2" width="30.26953125" style="1" bestFit="1" customWidth="1"/>
    <col min="3" max="3" width="15.26953125" style="1" customWidth="1"/>
    <col min="4" max="4" width="30.453125" style="2" bestFit="1" customWidth="1"/>
    <col min="5" max="5" width="3.453125" style="1" customWidth="1"/>
    <col min="6" max="6" width="19.26953125" style="2" customWidth="1"/>
    <col min="7" max="7" width="25.453125" style="1" bestFit="1" customWidth="1"/>
    <col min="8" max="8" width="25.453125" style="1" customWidth="1"/>
    <col min="9" max="9" width="18" style="1" customWidth="1"/>
    <col min="10" max="10" width="24.453125" style="1" bestFit="1" customWidth="1"/>
    <col min="11" max="11" width="9.26953125" style="1"/>
    <col min="12" max="12" width="17.26953125" style="1" customWidth="1"/>
    <col min="13" max="13" width="59.26953125" style="1" bestFit="1" customWidth="1"/>
    <col min="14" max="16384" width="9.26953125" style="1"/>
  </cols>
  <sheetData>
    <row r="1" spans="1:13" x14ac:dyDescent="0.3">
      <c r="A1" s="3" t="s">
        <v>137</v>
      </c>
      <c r="F1" s="9" t="s">
        <v>42</v>
      </c>
      <c r="L1" s="9" t="s">
        <v>2206</v>
      </c>
    </row>
    <row r="2" spans="1:13" x14ac:dyDescent="0.3">
      <c r="A2" s="1" t="s">
        <v>5</v>
      </c>
      <c r="B2" s="1" t="s">
        <v>6</v>
      </c>
      <c r="C2" s="1" t="s">
        <v>7</v>
      </c>
      <c r="D2" s="2" t="s">
        <v>8</v>
      </c>
      <c r="F2" s="9" t="s">
        <v>14</v>
      </c>
      <c r="G2" s="1" t="s">
        <v>21</v>
      </c>
      <c r="H2" s="1" t="s">
        <v>24</v>
      </c>
      <c r="I2" s="1" t="s">
        <v>16</v>
      </c>
      <c r="J2" s="1" t="s">
        <v>23</v>
      </c>
      <c r="L2" s="1" t="s">
        <v>2207</v>
      </c>
      <c r="M2" s="1" t="s">
        <v>2208</v>
      </c>
    </row>
    <row r="3" spans="1:13" x14ac:dyDescent="0.3">
      <c r="A3" s="4" t="s">
        <v>242</v>
      </c>
      <c r="B3" s="4" t="s">
        <v>243</v>
      </c>
      <c r="C3" s="4" t="s">
        <v>9</v>
      </c>
      <c r="D3" s="6" t="s">
        <v>2824</v>
      </c>
      <c r="F3" s="2">
        <v>-1</v>
      </c>
      <c r="G3" s="1" t="s">
        <v>17</v>
      </c>
      <c r="H3" s="1" t="s">
        <v>28</v>
      </c>
      <c r="I3" s="1" t="s">
        <v>59</v>
      </c>
      <c r="J3" s="1" t="s">
        <v>13</v>
      </c>
      <c r="L3" s="4">
        <v>1</v>
      </c>
      <c r="M3" s="4" t="s">
        <v>2227</v>
      </c>
    </row>
    <row r="4" spans="1:13" x14ac:dyDescent="0.3">
      <c r="A4" s="4" t="s">
        <v>163</v>
      </c>
      <c r="B4" s="4" t="s">
        <v>164</v>
      </c>
      <c r="C4" s="4" t="s">
        <v>32</v>
      </c>
      <c r="D4" s="11">
        <v>44291</v>
      </c>
      <c r="F4" s="6">
        <v>0</v>
      </c>
      <c r="G4" s="4" t="s">
        <v>18</v>
      </c>
      <c r="H4" s="4" t="s">
        <v>26</v>
      </c>
      <c r="I4" s="1" t="s">
        <v>12</v>
      </c>
      <c r="J4" s="1" t="s">
        <v>13</v>
      </c>
    </row>
    <row r="5" spans="1:13" x14ac:dyDescent="0.3">
      <c r="A5" s="4" t="s">
        <v>2351</v>
      </c>
      <c r="B5" s="4" t="s">
        <v>31</v>
      </c>
      <c r="C5" s="4" t="s">
        <v>9</v>
      </c>
      <c r="D5" s="6">
        <f>Configuration!$P$7</f>
        <v>2026</v>
      </c>
      <c r="F5" s="2">
        <v>1</v>
      </c>
      <c r="G5" s="1" t="s">
        <v>19</v>
      </c>
      <c r="H5" s="1" t="s">
        <v>25</v>
      </c>
      <c r="I5" s="1" t="s">
        <v>22</v>
      </c>
      <c r="J5" s="1" t="s">
        <v>13</v>
      </c>
    </row>
    <row r="6" spans="1:13" x14ac:dyDescent="0.3">
      <c r="A6" s="4" t="s">
        <v>2349</v>
      </c>
      <c r="B6" s="4" t="s">
        <v>2347</v>
      </c>
      <c r="C6" s="4" t="s">
        <v>32</v>
      </c>
      <c r="D6" s="11">
        <f>Configuration!P9</f>
        <v>46266</v>
      </c>
      <c r="F6" s="6">
        <v>2</v>
      </c>
      <c r="G6" s="4" t="s">
        <v>20</v>
      </c>
      <c r="H6" s="4" t="s">
        <v>27</v>
      </c>
      <c r="I6" s="1" t="s">
        <v>11</v>
      </c>
      <c r="J6" s="1" t="s">
        <v>13</v>
      </c>
    </row>
    <row r="7" spans="1:13" x14ac:dyDescent="0.3">
      <c r="A7" s="4" t="s">
        <v>2350</v>
      </c>
      <c r="B7" s="4" t="s">
        <v>2348</v>
      </c>
      <c r="C7" s="4" t="s">
        <v>32</v>
      </c>
      <c r="D7" s="11">
        <f>Configuration!P10</f>
        <v>46843</v>
      </c>
    </row>
    <row r="8" spans="1:13" x14ac:dyDescent="0.3">
      <c r="A8" s="4" t="s">
        <v>169</v>
      </c>
      <c r="B8" s="4" t="s">
        <v>170</v>
      </c>
      <c r="C8" s="4" t="s">
        <v>40</v>
      </c>
      <c r="D8" s="28">
        <f>Configuration!$P$8</f>
        <v>200000</v>
      </c>
    </row>
    <row r="9" spans="1:13" x14ac:dyDescent="0.3">
      <c r="A9" s="4" t="s">
        <v>2735</v>
      </c>
      <c r="B9" s="4" t="s">
        <v>2736</v>
      </c>
      <c r="C9" s="76" t="s">
        <v>9</v>
      </c>
      <c r="D9" s="303" t="str">
        <f>IF(Configuration!D16="","",Configuration!D16)</f>
        <v>Application Deadline: 5:00 p.m. PDT, Wednesday, May 27, 2026</v>
      </c>
    </row>
    <row r="10" spans="1:13" ht="221" x14ac:dyDescent="0.3">
      <c r="A10" s="4" t="s">
        <v>2737</v>
      </c>
      <c r="B10" s="4" t="s">
        <v>2738</v>
      </c>
      <c r="C10" s="4" t="s">
        <v>9</v>
      </c>
      <c r="D10" s="190" t="str">
        <f>IF(Configuration!D18="","",Configuration!D18)</f>
        <v>The application and budget, including all attachments, must be submitted by Members to the Bank via the secure portal no later than 5:00 p.m. PDT on Wednesday May 27, 2026. Failure to submit the application and all of the attachments by the application deadline will result in the application being deemed ineligible.
For more information regarding the preparation or submission of an AHEAD application, see the AHEAD Reference Guide at fhlbsf.com, contact the Community Investment Department at (415) 616-2542, or email ahead@fhlbsf.com.</v>
      </c>
      <c r="M10" s="14"/>
    </row>
    <row r="11" spans="1:13" x14ac:dyDescent="0.3">
      <c r="A11" s="1" t="s">
        <v>2324</v>
      </c>
      <c r="B11" s="1" t="s">
        <v>2325</v>
      </c>
      <c r="C11" s="1" t="s">
        <v>40</v>
      </c>
      <c r="D11" s="2">
        <f>IF(Configuration!P27="",0,Configuration!P27)</f>
        <v>1000</v>
      </c>
    </row>
    <row r="12" spans="1:13" x14ac:dyDescent="0.3">
      <c r="A12" s="1" t="s">
        <v>2326</v>
      </c>
      <c r="B12" s="1" t="s">
        <v>2329</v>
      </c>
      <c r="C12" s="1" t="s">
        <v>40</v>
      </c>
      <c r="D12" s="2">
        <f>IF(Configuration!P28="",0,Configuration!P28)</f>
        <v>2000</v>
      </c>
    </row>
    <row r="13" spans="1:13" x14ac:dyDescent="0.3">
      <c r="A13" s="1" t="s">
        <v>2327</v>
      </c>
      <c r="B13" s="1" t="s">
        <v>2330</v>
      </c>
      <c r="C13" s="1" t="s">
        <v>40</v>
      </c>
      <c r="D13" s="2">
        <f>IF(Configuration!P29="",0,Configuration!P29)</f>
        <v>3000</v>
      </c>
    </row>
    <row r="14" spans="1:13" x14ac:dyDescent="0.3">
      <c r="A14" s="1" t="s">
        <v>2328</v>
      </c>
      <c r="B14" s="1" t="s">
        <v>2331</v>
      </c>
      <c r="C14" s="1" t="s">
        <v>40</v>
      </c>
      <c r="D14" s="2">
        <f>IF(Configuration!P30="",0,Configuration!P30)</f>
        <v>4000</v>
      </c>
    </row>
    <row r="15" spans="1:13" x14ac:dyDescent="0.3">
      <c r="A15" s="1" t="s">
        <v>2338</v>
      </c>
      <c r="B15" s="1" t="s">
        <v>2339</v>
      </c>
      <c r="C15" s="1" t="s">
        <v>9</v>
      </c>
      <c r="D15" s="2" t="s">
        <v>2341</v>
      </c>
      <c r="F15" s="189" t="s">
        <v>2342</v>
      </c>
    </row>
    <row r="16" spans="1:13" x14ac:dyDescent="0.3">
      <c r="A16" s="1" t="s">
        <v>2337</v>
      </c>
      <c r="B16" s="1" t="s">
        <v>2340</v>
      </c>
      <c r="C16" s="1" t="s">
        <v>9</v>
      </c>
      <c r="D16" s="2" t="s">
        <v>2343</v>
      </c>
      <c r="F16" s="189" t="s">
        <v>2342</v>
      </c>
    </row>
    <row r="17" spans="1:6" x14ac:dyDescent="0.3">
      <c r="A17" s="1" t="s">
        <v>2773</v>
      </c>
      <c r="B17" s="1" t="s">
        <v>2774</v>
      </c>
      <c r="C17" s="1" t="s">
        <v>40</v>
      </c>
      <c r="D17" s="2">
        <v>0</v>
      </c>
      <c r="F17" s="2" t="s">
        <v>2796</v>
      </c>
    </row>
    <row r="18" spans="1:6" x14ac:dyDescent="0.3">
      <c r="A18" s="1" t="s">
        <v>2775</v>
      </c>
      <c r="B18" s="1" t="s">
        <v>2776</v>
      </c>
      <c r="C18" s="1" t="s">
        <v>40</v>
      </c>
      <c r="D18" s="2">
        <v>0</v>
      </c>
      <c r="F18" s="2" t="s">
        <v>2796</v>
      </c>
    </row>
  </sheetData>
  <sheetProtection algorithmName="SHA-512" hashValue="yFJ8Gz03zf6Bp5YqzCo58hNFYVfyLuTm2NARaVQ48l6iOah+IJC5znfif8TzIEspNkmnfI95g0rZvpIT/uUdoQ==" saltValue="SmibtIJn/p82xAu7vlG2Ow==" spinCount="100000" sheet="1" objects="1" scenarios="1"/>
  <pageMargins left="0.7" right="0.7" top="0.75" bottom="0.75" header="0.3" footer="0.3"/>
  <pageSetup orientation="portrait" r:id="rId1"/>
  <headerFooter>
    <oddFooter>&amp;L&amp;1#&amp;"Calibri"&amp;9&amp;K008000FHLBank San Francisco | Public</oddFooter>
  </headerFooter>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A3225"/>
  <sheetViews>
    <sheetView topLeftCell="J1" workbookViewId="0">
      <selection activeCell="Q5" sqref="Q5"/>
    </sheetView>
  </sheetViews>
  <sheetFormatPr defaultColWidth="9.26953125" defaultRowHeight="13" x14ac:dyDescent="0.3"/>
  <cols>
    <col min="1" max="1" width="33.26953125" style="1" bestFit="1" customWidth="1"/>
    <col min="2" max="2" width="9.26953125" style="1"/>
    <col min="3" max="3" width="33.26953125" style="1" bestFit="1" customWidth="1"/>
    <col min="4" max="4" width="9.26953125" style="1"/>
    <col min="5" max="5" width="33.26953125" style="1" bestFit="1" customWidth="1"/>
    <col min="6" max="6" width="15.7265625" style="1" customWidth="1"/>
    <col min="7" max="7" width="9.26953125" style="1"/>
    <col min="8" max="8" width="45" style="1" bestFit="1" customWidth="1"/>
    <col min="9" max="9" width="9.26953125" style="1"/>
    <col min="10" max="10" width="14.7265625" style="1" customWidth="1"/>
    <col min="11" max="11" width="15.7265625" style="1" customWidth="1"/>
    <col min="12" max="12" width="8.26953125" style="1" customWidth="1"/>
    <col min="13" max="13" width="17.26953125" style="1" customWidth="1"/>
    <col min="14" max="14" width="16.7265625" style="1" customWidth="1"/>
    <col min="15" max="15" width="9.26953125" style="1"/>
    <col min="16" max="16" width="13.54296875" style="1" customWidth="1"/>
    <col min="17" max="17" width="32.26953125" style="1" bestFit="1" customWidth="1"/>
    <col min="18" max="18" width="9.26953125" style="1"/>
    <col min="19" max="19" width="53" style="1" bestFit="1" customWidth="1"/>
    <col min="20" max="20" width="12.7265625" style="1" bestFit="1" customWidth="1"/>
    <col min="21" max="21" width="9.26953125" style="1"/>
    <col min="22" max="22" width="53" style="1" bestFit="1" customWidth="1"/>
    <col min="23" max="23" width="12.7265625" style="1" bestFit="1" customWidth="1"/>
    <col min="24" max="24" width="9.26953125" style="1"/>
    <col min="25" max="25" width="27.26953125" style="1" customWidth="1"/>
    <col min="26" max="26" width="9.26953125" style="1"/>
    <col min="27" max="27" width="27.26953125" style="1" customWidth="1"/>
    <col min="28" max="16384" width="9.26953125" style="1"/>
  </cols>
  <sheetData>
    <row r="1" spans="1:27" x14ac:dyDescent="0.3">
      <c r="A1" s="3" t="s">
        <v>2352</v>
      </c>
      <c r="C1" s="3" t="s">
        <v>2353</v>
      </c>
      <c r="E1" s="3" t="s">
        <v>245</v>
      </c>
      <c r="F1" s="1" t="s">
        <v>2202</v>
      </c>
      <c r="H1" s="3" t="s">
        <v>2203</v>
      </c>
      <c r="J1" s="3" t="s">
        <v>238</v>
      </c>
      <c r="M1" s="3" t="s">
        <v>239</v>
      </c>
      <c r="P1" s="3" t="s">
        <v>240</v>
      </c>
      <c r="S1" s="3" t="s">
        <v>2356</v>
      </c>
      <c r="V1" s="3" t="s">
        <v>2523</v>
      </c>
      <c r="Y1" s="3" t="s">
        <v>2777</v>
      </c>
      <c r="AA1" s="3" t="s">
        <v>2791</v>
      </c>
    </row>
    <row r="2" spans="1:27" ht="13.5" thickBot="1" x14ac:dyDescent="0.35">
      <c r="A2" s="15" t="s">
        <v>110</v>
      </c>
      <c r="C2" s="15" t="s">
        <v>110</v>
      </c>
      <c r="E2" s="37" t="s">
        <v>246</v>
      </c>
      <c r="F2" s="15" t="s">
        <v>110</v>
      </c>
      <c r="H2" s="15" t="s">
        <v>2204</v>
      </c>
      <c r="J2" s="37" t="s">
        <v>34</v>
      </c>
      <c r="K2" s="37" t="s">
        <v>35</v>
      </c>
      <c r="M2" s="37" t="s">
        <v>35</v>
      </c>
      <c r="N2" s="37" t="s">
        <v>34</v>
      </c>
      <c r="P2" s="37" t="s">
        <v>34</v>
      </c>
      <c r="Q2" s="37" t="s">
        <v>35</v>
      </c>
      <c r="S2" s="37" t="s">
        <v>35</v>
      </c>
      <c r="T2" s="37" t="s">
        <v>34</v>
      </c>
      <c r="V2" s="37" t="s">
        <v>35</v>
      </c>
      <c r="W2" s="37" t="s">
        <v>34</v>
      </c>
      <c r="Y2" s="37" t="s">
        <v>35</v>
      </c>
      <c r="AA2" s="37" t="s">
        <v>35</v>
      </c>
    </row>
    <row r="3" spans="1:27" ht="13.5" thickTop="1" x14ac:dyDescent="0.3">
      <c r="A3" s="51" t="s">
        <v>107</v>
      </c>
      <c r="C3" s="51" t="s">
        <v>107</v>
      </c>
      <c r="E3" s="38" t="s">
        <v>247</v>
      </c>
      <c r="F3" s="45" t="s">
        <v>109</v>
      </c>
      <c r="H3" s="49" t="s">
        <v>2202</v>
      </c>
      <c r="J3" s="38">
        <v>1</v>
      </c>
      <c r="K3" s="38" t="s">
        <v>227</v>
      </c>
      <c r="M3" s="38" t="s">
        <v>227</v>
      </c>
      <c r="N3" s="38">
        <v>1</v>
      </c>
      <c r="P3" s="40">
        <v>0</v>
      </c>
      <c r="Q3" s="38" t="s">
        <v>2858</v>
      </c>
      <c r="S3" s="191" t="s">
        <v>2355</v>
      </c>
      <c r="T3" s="40" t="s">
        <v>2301</v>
      </c>
      <c r="V3" s="191" t="s">
        <v>2319</v>
      </c>
      <c r="W3" s="40" t="s">
        <v>2526</v>
      </c>
      <c r="Y3" s="191" t="s">
        <v>2771</v>
      </c>
      <c r="AA3" s="191" t="s">
        <v>2792</v>
      </c>
    </row>
    <row r="4" spans="1:27" x14ac:dyDescent="0.3">
      <c r="A4" s="47" t="s">
        <v>105</v>
      </c>
      <c r="C4" s="47" t="s">
        <v>105</v>
      </c>
      <c r="E4" s="39" t="s">
        <v>248</v>
      </c>
      <c r="F4" s="46" t="s">
        <v>109</v>
      </c>
      <c r="J4" s="39">
        <v>0</v>
      </c>
      <c r="K4" s="39" t="s">
        <v>237</v>
      </c>
      <c r="M4" s="39" t="s">
        <v>237</v>
      </c>
      <c r="N4" s="39">
        <v>0</v>
      </c>
      <c r="P4" s="41">
        <v>1</v>
      </c>
      <c r="Q4" s="39" t="s">
        <v>2354</v>
      </c>
      <c r="S4" s="192" t="s">
        <v>2357</v>
      </c>
      <c r="T4" s="41" t="s">
        <v>2301</v>
      </c>
      <c r="V4" s="192" t="s">
        <v>2524</v>
      </c>
      <c r="W4" s="41" t="s">
        <v>2527</v>
      </c>
      <c r="Y4" s="192" t="s">
        <v>2789</v>
      </c>
      <c r="AA4" s="192" t="s">
        <v>2793</v>
      </c>
    </row>
    <row r="5" spans="1:27" x14ac:dyDescent="0.3">
      <c r="A5" s="51" t="s">
        <v>83</v>
      </c>
      <c r="C5" s="51" t="s">
        <v>83</v>
      </c>
      <c r="E5" s="38" t="s">
        <v>249</v>
      </c>
      <c r="F5" s="45" t="s">
        <v>109</v>
      </c>
      <c r="M5" s="38" t="s">
        <v>171</v>
      </c>
      <c r="N5" s="38">
        <v>2</v>
      </c>
      <c r="P5" s="40">
        <v>2</v>
      </c>
      <c r="Q5" s="38" t="s">
        <v>2783</v>
      </c>
      <c r="S5" s="191" t="s">
        <v>2358</v>
      </c>
      <c r="T5" s="40" t="s">
        <v>2301</v>
      </c>
      <c r="V5" s="191" t="s">
        <v>2525</v>
      </c>
      <c r="W5" s="40" t="s">
        <v>2528</v>
      </c>
    </row>
    <row r="6" spans="1:27" x14ac:dyDescent="0.3">
      <c r="A6" s="47" t="s">
        <v>108</v>
      </c>
      <c r="E6" s="39" t="s">
        <v>250</v>
      </c>
      <c r="F6" s="46" t="s">
        <v>109</v>
      </c>
      <c r="P6" s="41" t="s">
        <v>2778</v>
      </c>
      <c r="Q6" s="39" t="s">
        <v>2781</v>
      </c>
      <c r="S6" s="192" t="s">
        <v>2359</v>
      </c>
      <c r="T6" s="41" t="s">
        <v>2301</v>
      </c>
      <c r="V6" s="192" t="s">
        <v>2387</v>
      </c>
      <c r="W6" s="41" t="s">
        <v>2529</v>
      </c>
    </row>
    <row r="7" spans="1:27" x14ac:dyDescent="0.3">
      <c r="A7" s="51" t="s">
        <v>109</v>
      </c>
      <c r="E7" s="38" t="s">
        <v>251</v>
      </c>
      <c r="F7" s="45" t="s">
        <v>109</v>
      </c>
      <c r="P7" s="40" t="s">
        <v>2779</v>
      </c>
      <c r="Q7" s="38" t="s">
        <v>2782</v>
      </c>
      <c r="S7" s="191" t="s">
        <v>2360</v>
      </c>
      <c r="T7" s="40" t="s">
        <v>2301</v>
      </c>
    </row>
    <row r="8" spans="1:27" x14ac:dyDescent="0.3">
      <c r="A8" s="47" t="s">
        <v>106</v>
      </c>
      <c r="E8" s="39" t="s">
        <v>252</v>
      </c>
      <c r="F8" s="46" t="s">
        <v>109</v>
      </c>
      <c r="P8" s="41" t="s">
        <v>2780</v>
      </c>
      <c r="Q8" s="39" t="s">
        <v>2783</v>
      </c>
      <c r="S8" s="192" t="s">
        <v>2361</v>
      </c>
      <c r="T8" s="41" t="s">
        <v>2301</v>
      </c>
    </row>
    <row r="9" spans="1:27" x14ac:dyDescent="0.3">
      <c r="A9" s="51" t="s">
        <v>104</v>
      </c>
      <c r="E9" s="38" t="s">
        <v>253</v>
      </c>
      <c r="F9" s="45" t="s">
        <v>109</v>
      </c>
      <c r="S9" s="191" t="s">
        <v>2362</v>
      </c>
      <c r="T9" s="40" t="s">
        <v>2301</v>
      </c>
    </row>
    <row r="10" spans="1:27" x14ac:dyDescent="0.3">
      <c r="A10" s="47" t="s">
        <v>61</v>
      </c>
      <c r="E10" s="39" t="s">
        <v>254</v>
      </c>
      <c r="F10" s="46" t="s">
        <v>109</v>
      </c>
      <c r="S10" s="192" t="s">
        <v>2363</v>
      </c>
      <c r="T10" s="41" t="s">
        <v>2301</v>
      </c>
    </row>
    <row r="11" spans="1:27" x14ac:dyDescent="0.3">
      <c r="A11" s="51" t="s">
        <v>533</v>
      </c>
      <c r="E11" s="38" t="s">
        <v>255</v>
      </c>
      <c r="F11" s="45" t="s">
        <v>109</v>
      </c>
    </row>
    <row r="12" spans="1:27" x14ac:dyDescent="0.3">
      <c r="A12" s="47" t="s">
        <v>103</v>
      </c>
      <c r="E12" s="39" t="s">
        <v>256</v>
      </c>
      <c r="F12" s="46" t="s">
        <v>109</v>
      </c>
    </row>
    <row r="13" spans="1:27" x14ac:dyDescent="0.3">
      <c r="A13" s="51" t="s">
        <v>102</v>
      </c>
      <c r="E13" s="38" t="s">
        <v>257</v>
      </c>
      <c r="F13" s="45" t="s">
        <v>109</v>
      </c>
    </row>
    <row r="14" spans="1:27" x14ac:dyDescent="0.3">
      <c r="A14" s="47" t="s">
        <v>101</v>
      </c>
      <c r="E14" s="39" t="s">
        <v>258</v>
      </c>
      <c r="F14" s="46" t="s">
        <v>109</v>
      </c>
    </row>
    <row r="15" spans="1:27" x14ac:dyDescent="0.3">
      <c r="A15" s="51" t="s">
        <v>100</v>
      </c>
      <c r="E15" s="38" t="s">
        <v>259</v>
      </c>
      <c r="F15" s="45" t="s">
        <v>109</v>
      </c>
    </row>
    <row r="16" spans="1:27" x14ac:dyDescent="0.3">
      <c r="A16" s="47" t="s">
        <v>96</v>
      </c>
      <c r="E16" s="39" t="s">
        <v>260</v>
      </c>
      <c r="F16" s="46" t="s">
        <v>109</v>
      </c>
    </row>
    <row r="17" spans="1:6" x14ac:dyDescent="0.3">
      <c r="A17" s="51" t="s">
        <v>99</v>
      </c>
      <c r="E17" s="38" t="s">
        <v>261</v>
      </c>
      <c r="F17" s="45" t="s">
        <v>109</v>
      </c>
    </row>
    <row r="18" spans="1:6" x14ac:dyDescent="0.3">
      <c r="A18" s="47" t="s">
        <v>98</v>
      </c>
      <c r="E18" s="39" t="s">
        <v>262</v>
      </c>
      <c r="F18" s="46" t="s">
        <v>109</v>
      </c>
    </row>
    <row r="19" spans="1:6" x14ac:dyDescent="0.3">
      <c r="A19" s="51" t="s">
        <v>97</v>
      </c>
      <c r="E19" s="38" t="s">
        <v>263</v>
      </c>
      <c r="F19" s="45" t="s">
        <v>109</v>
      </c>
    </row>
    <row r="20" spans="1:6" x14ac:dyDescent="0.3">
      <c r="A20" s="47" t="s">
        <v>95</v>
      </c>
      <c r="E20" s="39" t="s">
        <v>264</v>
      </c>
      <c r="F20" s="46" t="s">
        <v>109</v>
      </c>
    </row>
    <row r="21" spans="1:6" x14ac:dyDescent="0.3">
      <c r="A21" s="51" t="s">
        <v>94</v>
      </c>
      <c r="E21" s="38" t="s">
        <v>265</v>
      </c>
      <c r="F21" s="45" t="s">
        <v>109</v>
      </c>
    </row>
    <row r="22" spans="1:6" x14ac:dyDescent="0.3">
      <c r="A22" s="47" t="s">
        <v>93</v>
      </c>
      <c r="E22" s="39" t="s">
        <v>266</v>
      </c>
      <c r="F22" s="46" t="s">
        <v>109</v>
      </c>
    </row>
    <row r="23" spans="1:6" x14ac:dyDescent="0.3">
      <c r="A23" s="51" t="s">
        <v>90</v>
      </c>
      <c r="E23" s="38" t="s">
        <v>267</v>
      </c>
      <c r="F23" s="45" t="s">
        <v>109</v>
      </c>
    </row>
    <row r="24" spans="1:6" x14ac:dyDescent="0.3">
      <c r="A24" s="47" t="s">
        <v>91</v>
      </c>
      <c r="E24" s="39" t="s">
        <v>268</v>
      </c>
      <c r="F24" s="46" t="s">
        <v>109</v>
      </c>
    </row>
    <row r="25" spans="1:6" x14ac:dyDescent="0.3">
      <c r="A25" s="51" t="s">
        <v>92</v>
      </c>
      <c r="E25" s="38" t="s">
        <v>269</v>
      </c>
      <c r="F25" s="45" t="s">
        <v>109</v>
      </c>
    </row>
    <row r="26" spans="1:6" x14ac:dyDescent="0.3">
      <c r="A26" s="47" t="s">
        <v>89</v>
      </c>
      <c r="E26" s="39" t="s">
        <v>270</v>
      </c>
      <c r="F26" s="46" t="s">
        <v>109</v>
      </c>
    </row>
    <row r="27" spans="1:6" x14ac:dyDescent="0.3">
      <c r="A27" s="51" t="s">
        <v>88</v>
      </c>
      <c r="E27" s="38" t="s">
        <v>271</v>
      </c>
      <c r="F27" s="45" t="s">
        <v>109</v>
      </c>
    </row>
    <row r="28" spans="1:6" x14ac:dyDescent="0.3">
      <c r="A28" s="47" t="s">
        <v>86</v>
      </c>
      <c r="E28" s="39" t="s">
        <v>272</v>
      </c>
      <c r="F28" s="46" t="s">
        <v>109</v>
      </c>
    </row>
    <row r="29" spans="1:6" x14ac:dyDescent="0.3">
      <c r="A29" s="51" t="s">
        <v>87</v>
      </c>
      <c r="E29" s="38" t="s">
        <v>273</v>
      </c>
      <c r="F29" s="45" t="s">
        <v>109</v>
      </c>
    </row>
    <row r="30" spans="1:6" x14ac:dyDescent="0.3">
      <c r="A30" s="47" t="s">
        <v>85</v>
      </c>
      <c r="E30" s="39" t="s">
        <v>274</v>
      </c>
      <c r="F30" s="46" t="s">
        <v>109</v>
      </c>
    </row>
    <row r="31" spans="1:6" x14ac:dyDescent="0.3">
      <c r="A31" s="51" t="s">
        <v>79</v>
      </c>
      <c r="E31" s="38" t="s">
        <v>275</v>
      </c>
      <c r="F31" s="45" t="s">
        <v>109</v>
      </c>
    </row>
    <row r="32" spans="1:6" x14ac:dyDescent="0.3">
      <c r="A32" s="47" t="s">
        <v>78</v>
      </c>
      <c r="E32" s="39" t="s">
        <v>276</v>
      </c>
      <c r="F32" s="46" t="s">
        <v>109</v>
      </c>
    </row>
    <row r="33" spans="1:6" x14ac:dyDescent="0.3">
      <c r="A33" s="51" t="s">
        <v>82</v>
      </c>
      <c r="E33" s="38" t="s">
        <v>277</v>
      </c>
      <c r="F33" s="45" t="s">
        <v>109</v>
      </c>
    </row>
    <row r="34" spans="1:6" x14ac:dyDescent="0.3">
      <c r="A34" s="47" t="s">
        <v>81</v>
      </c>
      <c r="E34" s="39" t="s">
        <v>278</v>
      </c>
      <c r="F34" s="46" t="s">
        <v>109</v>
      </c>
    </row>
    <row r="35" spans="1:6" x14ac:dyDescent="0.3">
      <c r="A35" s="51" t="s">
        <v>80</v>
      </c>
      <c r="E35" s="38" t="s">
        <v>279</v>
      </c>
      <c r="F35" s="45" t="s">
        <v>109</v>
      </c>
    </row>
    <row r="36" spans="1:6" x14ac:dyDescent="0.3">
      <c r="A36" s="47" t="s">
        <v>84</v>
      </c>
      <c r="E36" s="39" t="s">
        <v>280</v>
      </c>
      <c r="F36" s="46" t="s">
        <v>109</v>
      </c>
    </row>
    <row r="37" spans="1:6" x14ac:dyDescent="0.3">
      <c r="A37" s="51" t="s">
        <v>60</v>
      </c>
      <c r="E37" s="38" t="s">
        <v>281</v>
      </c>
      <c r="F37" s="45" t="s">
        <v>109</v>
      </c>
    </row>
    <row r="38" spans="1:6" x14ac:dyDescent="0.3">
      <c r="A38" s="47" t="s">
        <v>77</v>
      </c>
      <c r="E38" s="39" t="s">
        <v>282</v>
      </c>
      <c r="F38" s="46" t="s">
        <v>109</v>
      </c>
    </row>
    <row r="39" spans="1:6" x14ac:dyDescent="0.3">
      <c r="A39" s="51" t="s">
        <v>27</v>
      </c>
      <c r="E39" s="38" t="s">
        <v>283</v>
      </c>
      <c r="F39" s="45" t="s">
        <v>109</v>
      </c>
    </row>
    <row r="40" spans="1:6" x14ac:dyDescent="0.3">
      <c r="A40" s="47" t="s">
        <v>76</v>
      </c>
      <c r="E40" s="39" t="s">
        <v>284</v>
      </c>
      <c r="F40" s="46" t="s">
        <v>109</v>
      </c>
    </row>
    <row r="41" spans="1:6" x14ac:dyDescent="0.3">
      <c r="A41" s="51" t="s">
        <v>75</v>
      </c>
      <c r="E41" s="38" t="s">
        <v>285</v>
      </c>
      <c r="F41" s="45" t="s">
        <v>109</v>
      </c>
    </row>
    <row r="42" spans="1:6" x14ac:dyDescent="0.3">
      <c r="A42" s="47" t="s">
        <v>73</v>
      </c>
      <c r="E42" s="39" t="s">
        <v>286</v>
      </c>
      <c r="F42" s="46" t="s">
        <v>109</v>
      </c>
    </row>
    <row r="43" spans="1:6" x14ac:dyDescent="0.3">
      <c r="A43" s="51" t="s">
        <v>72</v>
      </c>
      <c r="E43" s="38" t="s">
        <v>287</v>
      </c>
      <c r="F43" s="45" t="s">
        <v>109</v>
      </c>
    </row>
    <row r="44" spans="1:6" x14ac:dyDescent="0.3">
      <c r="A44" s="47" t="s">
        <v>71</v>
      </c>
      <c r="E44" s="39" t="s">
        <v>288</v>
      </c>
      <c r="F44" s="46" t="s">
        <v>109</v>
      </c>
    </row>
    <row r="45" spans="1:6" x14ac:dyDescent="0.3">
      <c r="A45" s="51" t="s">
        <v>70</v>
      </c>
      <c r="E45" s="38" t="s">
        <v>289</v>
      </c>
      <c r="F45" s="45" t="s">
        <v>109</v>
      </c>
    </row>
    <row r="46" spans="1:6" x14ac:dyDescent="0.3">
      <c r="A46" s="47" t="s">
        <v>69</v>
      </c>
      <c r="E46" s="39" t="s">
        <v>290</v>
      </c>
      <c r="F46" s="46" t="s">
        <v>109</v>
      </c>
    </row>
    <row r="47" spans="1:6" x14ac:dyDescent="0.3">
      <c r="A47" s="51" t="s">
        <v>68</v>
      </c>
      <c r="E47" s="38" t="s">
        <v>291</v>
      </c>
      <c r="F47" s="45" t="s">
        <v>109</v>
      </c>
    </row>
    <row r="48" spans="1:6" x14ac:dyDescent="0.3">
      <c r="A48" s="47" t="s">
        <v>66</v>
      </c>
      <c r="E48" s="39" t="s">
        <v>292</v>
      </c>
      <c r="F48" s="46" t="s">
        <v>109</v>
      </c>
    </row>
    <row r="49" spans="1:6" x14ac:dyDescent="0.3">
      <c r="A49" s="51" t="s">
        <v>67</v>
      </c>
      <c r="E49" s="38" t="s">
        <v>293</v>
      </c>
      <c r="F49" s="45" t="s">
        <v>109</v>
      </c>
    </row>
    <row r="50" spans="1:6" x14ac:dyDescent="0.3">
      <c r="A50" s="47" t="s">
        <v>65</v>
      </c>
      <c r="E50" s="39" t="s">
        <v>294</v>
      </c>
      <c r="F50" s="46" t="s">
        <v>109</v>
      </c>
    </row>
    <row r="51" spans="1:6" x14ac:dyDescent="0.3">
      <c r="A51" s="51" t="s">
        <v>63</v>
      </c>
      <c r="E51" s="38" t="s">
        <v>295</v>
      </c>
      <c r="F51" s="45" t="s">
        <v>109</v>
      </c>
    </row>
    <row r="52" spans="1:6" x14ac:dyDescent="0.3">
      <c r="A52" s="47" t="s">
        <v>64</v>
      </c>
      <c r="E52" s="39" t="s">
        <v>296</v>
      </c>
      <c r="F52" s="46" t="s">
        <v>109</v>
      </c>
    </row>
    <row r="53" spans="1:6" x14ac:dyDescent="0.3">
      <c r="A53" s="51" t="s">
        <v>62</v>
      </c>
      <c r="E53" s="38" t="s">
        <v>297</v>
      </c>
      <c r="F53" s="45" t="s">
        <v>109</v>
      </c>
    </row>
    <row r="54" spans="1:6" x14ac:dyDescent="0.3">
      <c r="E54" s="39" t="s">
        <v>298</v>
      </c>
      <c r="F54" s="46" t="s">
        <v>109</v>
      </c>
    </row>
    <row r="55" spans="1:6" x14ac:dyDescent="0.3">
      <c r="E55" s="38" t="s">
        <v>299</v>
      </c>
      <c r="F55" s="45" t="s">
        <v>109</v>
      </c>
    </row>
    <row r="56" spans="1:6" x14ac:dyDescent="0.3">
      <c r="E56" s="39" t="s">
        <v>300</v>
      </c>
      <c r="F56" s="46" t="s">
        <v>109</v>
      </c>
    </row>
    <row r="57" spans="1:6" x14ac:dyDescent="0.3">
      <c r="E57" s="38" t="s">
        <v>301</v>
      </c>
      <c r="F57" s="45" t="s">
        <v>109</v>
      </c>
    </row>
    <row r="58" spans="1:6" x14ac:dyDescent="0.3">
      <c r="E58" s="39" t="s">
        <v>302</v>
      </c>
      <c r="F58" s="46" t="s">
        <v>109</v>
      </c>
    </row>
    <row r="59" spans="1:6" x14ac:dyDescent="0.3">
      <c r="E59" s="38" t="s">
        <v>303</v>
      </c>
      <c r="F59" s="45" t="s">
        <v>109</v>
      </c>
    </row>
    <row r="60" spans="1:6" x14ac:dyDescent="0.3">
      <c r="E60" s="39" t="s">
        <v>304</v>
      </c>
      <c r="F60" s="46" t="s">
        <v>109</v>
      </c>
    </row>
    <row r="61" spans="1:6" x14ac:dyDescent="0.3">
      <c r="E61" s="38" t="s">
        <v>305</v>
      </c>
      <c r="F61" s="45" t="s">
        <v>109</v>
      </c>
    </row>
    <row r="62" spans="1:6" x14ac:dyDescent="0.3">
      <c r="E62" s="39" t="s">
        <v>306</v>
      </c>
      <c r="F62" s="46" t="s">
        <v>109</v>
      </c>
    </row>
    <row r="63" spans="1:6" x14ac:dyDescent="0.3">
      <c r="E63" s="38" t="s">
        <v>307</v>
      </c>
      <c r="F63" s="45" t="s">
        <v>109</v>
      </c>
    </row>
    <row r="64" spans="1:6" x14ac:dyDescent="0.3">
      <c r="E64" s="39" t="s">
        <v>308</v>
      </c>
      <c r="F64" s="46" t="s">
        <v>109</v>
      </c>
    </row>
    <row r="65" spans="5:6" x14ac:dyDescent="0.3">
      <c r="E65" s="38" t="s">
        <v>309</v>
      </c>
      <c r="F65" s="45" t="s">
        <v>109</v>
      </c>
    </row>
    <row r="66" spans="5:6" x14ac:dyDescent="0.3">
      <c r="E66" s="39" t="s">
        <v>310</v>
      </c>
      <c r="F66" s="46" t="s">
        <v>109</v>
      </c>
    </row>
    <row r="67" spans="5:6" x14ac:dyDescent="0.3">
      <c r="E67" s="38" t="s">
        <v>311</v>
      </c>
      <c r="F67" s="45" t="s">
        <v>109</v>
      </c>
    </row>
    <row r="68" spans="5:6" x14ac:dyDescent="0.3">
      <c r="E68" s="39" t="s">
        <v>312</v>
      </c>
      <c r="F68" s="46" t="s">
        <v>109</v>
      </c>
    </row>
    <row r="69" spans="5:6" x14ac:dyDescent="0.3">
      <c r="E69" s="38" t="s">
        <v>313</v>
      </c>
      <c r="F69" s="45" t="s">
        <v>109</v>
      </c>
    </row>
    <row r="70" spans="5:6" x14ac:dyDescent="0.3">
      <c r="E70" s="39" t="s">
        <v>314</v>
      </c>
      <c r="F70" s="46" t="s">
        <v>108</v>
      </c>
    </row>
    <row r="71" spans="5:6" x14ac:dyDescent="0.3">
      <c r="E71" s="38" t="s">
        <v>315</v>
      </c>
      <c r="F71" s="45" t="s">
        <v>108</v>
      </c>
    </row>
    <row r="72" spans="5:6" x14ac:dyDescent="0.3">
      <c r="E72" s="39" t="s">
        <v>316</v>
      </c>
      <c r="F72" s="46" t="s">
        <v>108</v>
      </c>
    </row>
    <row r="73" spans="5:6" x14ac:dyDescent="0.3">
      <c r="E73" s="38" t="s">
        <v>317</v>
      </c>
      <c r="F73" s="45" t="s">
        <v>108</v>
      </c>
    </row>
    <row r="74" spans="5:6" x14ac:dyDescent="0.3">
      <c r="E74" s="39" t="s">
        <v>318</v>
      </c>
      <c r="F74" s="46" t="s">
        <v>108</v>
      </c>
    </row>
    <row r="75" spans="5:6" x14ac:dyDescent="0.3">
      <c r="E75" s="38" t="s">
        <v>319</v>
      </c>
      <c r="F75" s="45" t="s">
        <v>108</v>
      </c>
    </row>
    <row r="76" spans="5:6" x14ac:dyDescent="0.3">
      <c r="E76" s="39" t="s">
        <v>320</v>
      </c>
      <c r="F76" s="46" t="s">
        <v>108</v>
      </c>
    </row>
    <row r="77" spans="5:6" x14ac:dyDescent="0.3">
      <c r="E77" s="38" t="s">
        <v>321</v>
      </c>
      <c r="F77" s="45" t="s">
        <v>108</v>
      </c>
    </row>
    <row r="78" spans="5:6" x14ac:dyDescent="0.3">
      <c r="E78" s="39" t="s">
        <v>322</v>
      </c>
      <c r="F78" s="46" t="s">
        <v>108</v>
      </c>
    </row>
    <row r="79" spans="5:6" x14ac:dyDescent="0.3">
      <c r="E79" s="38" t="s">
        <v>323</v>
      </c>
      <c r="F79" s="45" t="s">
        <v>108</v>
      </c>
    </row>
    <row r="80" spans="5:6" x14ac:dyDescent="0.3">
      <c r="E80" s="39" t="s">
        <v>324</v>
      </c>
      <c r="F80" s="46" t="s">
        <v>108</v>
      </c>
    </row>
    <row r="81" spans="5:6" x14ac:dyDescent="0.3">
      <c r="E81" s="38" t="s">
        <v>325</v>
      </c>
      <c r="F81" s="45" t="s">
        <v>108</v>
      </c>
    </row>
    <row r="82" spans="5:6" x14ac:dyDescent="0.3">
      <c r="E82" s="39" t="s">
        <v>326</v>
      </c>
      <c r="F82" s="46" t="s">
        <v>108</v>
      </c>
    </row>
    <row r="83" spans="5:6" x14ac:dyDescent="0.3">
      <c r="E83" s="38" t="s">
        <v>327</v>
      </c>
      <c r="F83" s="45" t="s">
        <v>108</v>
      </c>
    </row>
    <row r="84" spans="5:6" x14ac:dyDescent="0.3">
      <c r="E84" s="39" t="s">
        <v>328</v>
      </c>
      <c r="F84" s="46" t="s">
        <v>108</v>
      </c>
    </row>
    <row r="85" spans="5:6" x14ac:dyDescent="0.3">
      <c r="E85" s="38" t="s">
        <v>329</v>
      </c>
      <c r="F85" s="45" t="s">
        <v>108</v>
      </c>
    </row>
    <row r="86" spans="5:6" x14ac:dyDescent="0.3">
      <c r="E86" s="39" t="s">
        <v>330</v>
      </c>
      <c r="F86" s="46" t="s">
        <v>108</v>
      </c>
    </row>
    <row r="87" spans="5:6" x14ac:dyDescent="0.3">
      <c r="E87" s="38" t="s">
        <v>331</v>
      </c>
      <c r="F87" s="45" t="s">
        <v>108</v>
      </c>
    </row>
    <row r="88" spans="5:6" x14ac:dyDescent="0.3">
      <c r="E88" s="39" t="s">
        <v>332</v>
      </c>
      <c r="F88" s="46" t="s">
        <v>108</v>
      </c>
    </row>
    <row r="89" spans="5:6" x14ac:dyDescent="0.3">
      <c r="E89" s="38" t="s">
        <v>333</v>
      </c>
      <c r="F89" s="45" t="s">
        <v>108</v>
      </c>
    </row>
    <row r="90" spans="5:6" x14ac:dyDescent="0.3">
      <c r="E90" s="39" t="s">
        <v>334</v>
      </c>
      <c r="F90" s="46" t="s">
        <v>108</v>
      </c>
    </row>
    <row r="91" spans="5:6" x14ac:dyDescent="0.3">
      <c r="E91" s="38" t="s">
        <v>335</v>
      </c>
      <c r="F91" s="45" t="s">
        <v>108</v>
      </c>
    </row>
    <row r="92" spans="5:6" x14ac:dyDescent="0.3">
      <c r="E92" s="39" t="s">
        <v>336</v>
      </c>
      <c r="F92" s="46" t="s">
        <v>108</v>
      </c>
    </row>
    <row r="93" spans="5:6" x14ac:dyDescent="0.3">
      <c r="E93" s="38" t="s">
        <v>337</v>
      </c>
      <c r="F93" s="45" t="s">
        <v>108</v>
      </c>
    </row>
    <row r="94" spans="5:6" x14ac:dyDescent="0.3">
      <c r="E94" s="39" t="s">
        <v>338</v>
      </c>
      <c r="F94" s="46" t="s">
        <v>108</v>
      </c>
    </row>
    <row r="95" spans="5:6" x14ac:dyDescent="0.3">
      <c r="E95" s="38" t="s">
        <v>339</v>
      </c>
      <c r="F95" s="45" t="s">
        <v>107</v>
      </c>
    </row>
    <row r="96" spans="5:6" x14ac:dyDescent="0.3">
      <c r="E96" s="39" t="s">
        <v>340</v>
      </c>
      <c r="F96" s="46" t="s">
        <v>107</v>
      </c>
    </row>
    <row r="97" spans="5:6" x14ac:dyDescent="0.3">
      <c r="E97" s="38" t="s">
        <v>341</v>
      </c>
      <c r="F97" s="45" t="s">
        <v>107</v>
      </c>
    </row>
    <row r="98" spans="5:6" x14ac:dyDescent="0.3">
      <c r="E98" s="39" t="s">
        <v>342</v>
      </c>
      <c r="F98" s="46" t="s">
        <v>107</v>
      </c>
    </row>
    <row r="99" spans="5:6" x14ac:dyDescent="0.3">
      <c r="E99" s="38" t="s">
        <v>343</v>
      </c>
      <c r="F99" s="45" t="s">
        <v>107</v>
      </c>
    </row>
    <row r="100" spans="5:6" x14ac:dyDescent="0.3">
      <c r="E100" s="39" t="s">
        <v>344</v>
      </c>
      <c r="F100" s="46" t="s">
        <v>107</v>
      </c>
    </row>
    <row r="101" spans="5:6" x14ac:dyDescent="0.3">
      <c r="E101" s="38" t="s">
        <v>345</v>
      </c>
      <c r="F101" s="45" t="s">
        <v>107</v>
      </c>
    </row>
    <row r="102" spans="5:6" x14ac:dyDescent="0.3">
      <c r="E102" s="39" t="s">
        <v>346</v>
      </c>
      <c r="F102" s="46" t="s">
        <v>107</v>
      </c>
    </row>
    <row r="103" spans="5:6" x14ac:dyDescent="0.3">
      <c r="E103" s="38" t="s">
        <v>347</v>
      </c>
      <c r="F103" s="45" t="s">
        <v>107</v>
      </c>
    </row>
    <row r="104" spans="5:6" x14ac:dyDescent="0.3">
      <c r="E104" s="39" t="s">
        <v>348</v>
      </c>
      <c r="F104" s="46" t="s">
        <v>107</v>
      </c>
    </row>
    <row r="105" spans="5:6" x14ac:dyDescent="0.3">
      <c r="E105" s="38" t="s">
        <v>349</v>
      </c>
      <c r="F105" s="45" t="s">
        <v>107</v>
      </c>
    </row>
    <row r="106" spans="5:6" x14ac:dyDescent="0.3">
      <c r="E106" s="39" t="s">
        <v>350</v>
      </c>
      <c r="F106" s="46" t="s">
        <v>107</v>
      </c>
    </row>
    <row r="107" spans="5:6" x14ac:dyDescent="0.3">
      <c r="E107" s="38" t="s">
        <v>351</v>
      </c>
      <c r="F107" s="45" t="s">
        <v>107</v>
      </c>
    </row>
    <row r="108" spans="5:6" x14ac:dyDescent="0.3">
      <c r="E108" s="39" t="s">
        <v>352</v>
      </c>
      <c r="F108" s="46" t="s">
        <v>107</v>
      </c>
    </row>
    <row r="109" spans="5:6" x14ac:dyDescent="0.3">
      <c r="E109" s="38" t="s">
        <v>353</v>
      </c>
      <c r="F109" s="45" t="s">
        <v>107</v>
      </c>
    </row>
    <row r="110" spans="5:6" x14ac:dyDescent="0.3">
      <c r="E110" s="39" t="s">
        <v>354</v>
      </c>
      <c r="F110" s="46" t="s">
        <v>106</v>
      </c>
    </row>
    <row r="111" spans="5:6" x14ac:dyDescent="0.3">
      <c r="E111" s="38" t="s">
        <v>355</v>
      </c>
      <c r="F111" s="45" t="s">
        <v>106</v>
      </c>
    </row>
    <row r="112" spans="5:6" x14ac:dyDescent="0.3">
      <c r="E112" s="39" t="s">
        <v>356</v>
      </c>
      <c r="F112" s="46" t="s">
        <v>106</v>
      </c>
    </row>
    <row r="113" spans="5:6" x14ac:dyDescent="0.3">
      <c r="E113" s="38" t="s">
        <v>357</v>
      </c>
      <c r="F113" s="45" t="s">
        <v>106</v>
      </c>
    </row>
    <row r="114" spans="5:6" x14ac:dyDescent="0.3">
      <c r="E114" s="39" t="s">
        <v>358</v>
      </c>
      <c r="F114" s="46" t="s">
        <v>106</v>
      </c>
    </row>
    <row r="115" spans="5:6" x14ac:dyDescent="0.3">
      <c r="E115" s="38" t="s">
        <v>359</v>
      </c>
      <c r="F115" s="45" t="s">
        <v>106</v>
      </c>
    </row>
    <row r="116" spans="5:6" x14ac:dyDescent="0.3">
      <c r="E116" s="39" t="s">
        <v>254</v>
      </c>
      <c r="F116" s="46" t="s">
        <v>106</v>
      </c>
    </row>
    <row r="117" spans="5:6" x14ac:dyDescent="0.3">
      <c r="E117" s="38" t="s">
        <v>360</v>
      </c>
      <c r="F117" s="45" t="s">
        <v>106</v>
      </c>
    </row>
    <row r="118" spans="5:6" x14ac:dyDescent="0.3">
      <c r="E118" s="39" t="s">
        <v>361</v>
      </c>
      <c r="F118" s="46" t="s">
        <v>106</v>
      </c>
    </row>
    <row r="119" spans="5:6" x14ac:dyDescent="0.3">
      <c r="E119" s="38" t="s">
        <v>362</v>
      </c>
      <c r="F119" s="45" t="s">
        <v>106</v>
      </c>
    </row>
    <row r="120" spans="5:6" x14ac:dyDescent="0.3">
      <c r="E120" s="39" t="s">
        <v>260</v>
      </c>
      <c r="F120" s="46" t="s">
        <v>106</v>
      </c>
    </row>
    <row r="121" spans="5:6" x14ac:dyDescent="0.3">
      <c r="E121" s="38" t="s">
        <v>261</v>
      </c>
      <c r="F121" s="45" t="s">
        <v>106</v>
      </c>
    </row>
    <row r="122" spans="5:6" x14ac:dyDescent="0.3">
      <c r="E122" s="39" t="s">
        <v>363</v>
      </c>
      <c r="F122" s="46" t="s">
        <v>106</v>
      </c>
    </row>
    <row r="123" spans="5:6" x14ac:dyDescent="0.3">
      <c r="E123" s="38" t="s">
        <v>364</v>
      </c>
      <c r="F123" s="45" t="s">
        <v>106</v>
      </c>
    </row>
    <row r="124" spans="5:6" x14ac:dyDescent="0.3">
      <c r="E124" s="39" t="s">
        <v>365</v>
      </c>
      <c r="F124" s="46" t="s">
        <v>106</v>
      </c>
    </row>
    <row r="125" spans="5:6" x14ac:dyDescent="0.3">
      <c r="E125" s="38" t="s">
        <v>366</v>
      </c>
      <c r="F125" s="45" t="s">
        <v>106</v>
      </c>
    </row>
    <row r="126" spans="5:6" x14ac:dyDescent="0.3">
      <c r="E126" s="39" t="s">
        <v>367</v>
      </c>
      <c r="F126" s="46" t="s">
        <v>106</v>
      </c>
    </row>
    <row r="127" spans="5:6" x14ac:dyDescent="0.3">
      <c r="E127" s="38" t="s">
        <v>368</v>
      </c>
      <c r="F127" s="45" t="s">
        <v>106</v>
      </c>
    </row>
    <row r="128" spans="5:6" x14ac:dyDescent="0.3">
      <c r="E128" s="39" t="s">
        <v>369</v>
      </c>
      <c r="F128" s="46" t="s">
        <v>106</v>
      </c>
    </row>
    <row r="129" spans="5:6" x14ac:dyDescent="0.3">
      <c r="E129" s="38" t="s">
        <v>270</v>
      </c>
      <c r="F129" s="45" t="s">
        <v>106</v>
      </c>
    </row>
    <row r="130" spans="5:6" x14ac:dyDescent="0.3">
      <c r="E130" s="39" t="s">
        <v>370</v>
      </c>
      <c r="F130" s="46" t="s">
        <v>106</v>
      </c>
    </row>
    <row r="131" spans="5:6" x14ac:dyDescent="0.3">
      <c r="E131" s="38" t="s">
        <v>371</v>
      </c>
      <c r="F131" s="45" t="s">
        <v>106</v>
      </c>
    </row>
    <row r="132" spans="5:6" x14ac:dyDescent="0.3">
      <c r="E132" s="39" t="s">
        <v>372</v>
      </c>
      <c r="F132" s="46" t="s">
        <v>106</v>
      </c>
    </row>
    <row r="133" spans="5:6" x14ac:dyDescent="0.3">
      <c r="E133" s="38" t="s">
        <v>276</v>
      </c>
      <c r="F133" s="45" t="s">
        <v>106</v>
      </c>
    </row>
    <row r="134" spans="5:6" x14ac:dyDescent="0.3">
      <c r="E134" s="39" t="s">
        <v>373</v>
      </c>
      <c r="F134" s="46" t="s">
        <v>106</v>
      </c>
    </row>
    <row r="135" spans="5:6" x14ac:dyDescent="0.3">
      <c r="E135" s="38" t="s">
        <v>374</v>
      </c>
      <c r="F135" s="45" t="s">
        <v>106</v>
      </c>
    </row>
    <row r="136" spans="5:6" x14ac:dyDescent="0.3">
      <c r="E136" s="39" t="s">
        <v>375</v>
      </c>
      <c r="F136" s="46" t="s">
        <v>106</v>
      </c>
    </row>
    <row r="137" spans="5:6" x14ac:dyDescent="0.3">
      <c r="E137" s="38" t="s">
        <v>278</v>
      </c>
      <c r="F137" s="45" t="s">
        <v>106</v>
      </c>
    </row>
    <row r="138" spans="5:6" x14ac:dyDescent="0.3">
      <c r="E138" s="39" t="s">
        <v>376</v>
      </c>
      <c r="F138" s="46" t="s">
        <v>106</v>
      </c>
    </row>
    <row r="139" spans="5:6" x14ac:dyDescent="0.3">
      <c r="E139" s="38" t="s">
        <v>377</v>
      </c>
      <c r="F139" s="45" t="s">
        <v>106</v>
      </c>
    </row>
    <row r="140" spans="5:6" x14ac:dyDescent="0.3">
      <c r="E140" s="39" t="s">
        <v>378</v>
      </c>
      <c r="F140" s="46" t="s">
        <v>106</v>
      </c>
    </row>
    <row r="141" spans="5:6" x14ac:dyDescent="0.3">
      <c r="E141" s="38" t="s">
        <v>379</v>
      </c>
      <c r="F141" s="45" t="s">
        <v>106</v>
      </c>
    </row>
    <row r="142" spans="5:6" x14ac:dyDescent="0.3">
      <c r="E142" s="39" t="s">
        <v>380</v>
      </c>
      <c r="F142" s="46" t="s">
        <v>106</v>
      </c>
    </row>
    <row r="143" spans="5:6" x14ac:dyDescent="0.3">
      <c r="E143" s="38" t="s">
        <v>282</v>
      </c>
      <c r="F143" s="45" t="s">
        <v>106</v>
      </c>
    </row>
    <row r="144" spans="5:6" x14ac:dyDescent="0.3">
      <c r="E144" s="39" t="s">
        <v>283</v>
      </c>
      <c r="F144" s="46" t="s">
        <v>106</v>
      </c>
    </row>
    <row r="145" spans="5:6" x14ac:dyDescent="0.3">
      <c r="E145" s="38" t="s">
        <v>381</v>
      </c>
      <c r="F145" s="45" t="s">
        <v>106</v>
      </c>
    </row>
    <row r="146" spans="5:6" x14ac:dyDescent="0.3">
      <c r="E146" s="39" t="s">
        <v>382</v>
      </c>
      <c r="F146" s="46" t="s">
        <v>106</v>
      </c>
    </row>
    <row r="147" spans="5:6" x14ac:dyDescent="0.3">
      <c r="E147" s="38" t="s">
        <v>286</v>
      </c>
      <c r="F147" s="45" t="s">
        <v>106</v>
      </c>
    </row>
    <row r="148" spans="5:6" x14ac:dyDescent="0.3">
      <c r="E148" s="39" t="s">
        <v>287</v>
      </c>
      <c r="F148" s="46" t="s">
        <v>106</v>
      </c>
    </row>
    <row r="149" spans="5:6" x14ac:dyDescent="0.3">
      <c r="E149" s="38" t="s">
        <v>383</v>
      </c>
      <c r="F149" s="45" t="s">
        <v>106</v>
      </c>
    </row>
    <row r="150" spans="5:6" x14ac:dyDescent="0.3">
      <c r="E150" s="39" t="s">
        <v>384</v>
      </c>
      <c r="F150" s="46" t="s">
        <v>106</v>
      </c>
    </row>
    <row r="151" spans="5:6" x14ac:dyDescent="0.3">
      <c r="E151" s="38" t="s">
        <v>385</v>
      </c>
      <c r="F151" s="45" t="s">
        <v>106</v>
      </c>
    </row>
    <row r="152" spans="5:6" x14ac:dyDescent="0.3">
      <c r="E152" s="39" t="s">
        <v>386</v>
      </c>
      <c r="F152" s="46" t="s">
        <v>106</v>
      </c>
    </row>
    <row r="153" spans="5:6" x14ac:dyDescent="0.3">
      <c r="E153" s="38" t="s">
        <v>291</v>
      </c>
      <c r="F153" s="45" t="s">
        <v>106</v>
      </c>
    </row>
    <row r="154" spans="5:6" x14ac:dyDescent="0.3">
      <c r="E154" s="39" t="s">
        <v>293</v>
      </c>
      <c r="F154" s="46" t="s">
        <v>106</v>
      </c>
    </row>
    <row r="155" spans="5:6" x14ac:dyDescent="0.3">
      <c r="E155" s="38" t="s">
        <v>387</v>
      </c>
      <c r="F155" s="45" t="s">
        <v>106</v>
      </c>
    </row>
    <row r="156" spans="5:6" x14ac:dyDescent="0.3">
      <c r="E156" s="39" t="s">
        <v>388</v>
      </c>
      <c r="F156" s="46" t="s">
        <v>106</v>
      </c>
    </row>
    <row r="157" spans="5:6" x14ac:dyDescent="0.3">
      <c r="E157" s="38" t="s">
        <v>296</v>
      </c>
      <c r="F157" s="45" t="s">
        <v>106</v>
      </c>
    </row>
    <row r="158" spans="5:6" x14ac:dyDescent="0.3">
      <c r="E158" s="39" t="s">
        <v>297</v>
      </c>
      <c r="F158" s="46" t="s">
        <v>106</v>
      </c>
    </row>
    <row r="159" spans="5:6" x14ac:dyDescent="0.3">
      <c r="E159" s="38" t="s">
        <v>389</v>
      </c>
      <c r="F159" s="45" t="s">
        <v>106</v>
      </c>
    </row>
    <row r="160" spans="5:6" x14ac:dyDescent="0.3">
      <c r="E160" s="39" t="s">
        <v>390</v>
      </c>
      <c r="F160" s="46" t="s">
        <v>106</v>
      </c>
    </row>
    <row r="161" spans="5:6" x14ac:dyDescent="0.3">
      <c r="E161" s="38" t="s">
        <v>391</v>
      </c>
      <c r="F161" s="45" t="s">
        <v>106</v>
      </c>
    </row>
    <row r="162" spans="5:6" x14ac:dyDescent="0.3">
      <c r="E162" s="39" t="s">
        <v>299</v>
      </c>
      <c r="F162" s="46" t="s">
        <v>106</v>
      </c>
    </row>
    <row r="163" spans="5:6" x14ac:dyDescent="0.3">
      <c r="E163" s="38" t="s">
        <v>392</v>
      </c>
      <c r="F163" s="45" t="s">
        <v>106</v>
      </c>
    </row>
    <row r="164" spans="5:6" x14ac:dyDescent="0.3">
      <c r="E164" s="39" t="s">
        <v>301</v>
      </c>
      <c r="F164" s="46" t="s">
        <v>106</v>
      </c>
    </row>
    <row r="165" spans="5:6" x14ac:dyDescent="0.3">
      <c r="E165" s="38" t="s">
        <v>393</v>
      </c>
      <c r="F165" s="45" t="s">
        <v>106</v>
      </c>
    </row>
    <row r="166" spans="5:6" x14ac:dyDescent="0.3">
      <c r="E166" s="39" t="s">
        <v>394</v>
      </c>
      <c r="F166" s="46" t="s">
        <v>106</v>
      </c>
    </row>
    <row r="167" spans="5:6" x14ac:dyDescent="0.3">
      <c r="E167" s="38" t="s">
        <v>395</v>
      </c>
      <c r="F167" s="45" t="s">
        <v>106</v>
      </c>
    </row>
    <row r="168" spans="5:6" x14ac:dyDescent="0.3">
      <c r="E168" s="39" t="s">
        <v>396</v>
      </c>
      <c r="F168" s="46" t="s">
        <v>106</v>
      </c>
    </row>
    <row r="169" spans="5:6" x14ac:dyDescent="0.3">
      <c r="E169" s="38" t="s">
        <v>397</v>
      </c>
      <c r="F169" s="45" t="s">
        <v>106</v>
      </c>
    </row>
    <row r="170" spans="5:6" x14ac:dyDescent="0.3">
      <c r="E170" s="39" t="s">
        <v>302</v>
      </c>
      <c r="F170" s="46" t="s">
        <v>106</v>
      </c>
    </row>
    <row r="171" spans="5:6" x14ac:dyDescent="0.3">
      <c r="E171" s="38" t="s">
        <v>398</v>
      </c>
      <c r="F171" s="45" t="s">
        <v>106</v>
      </c>
    </row>
    <row r="172" spans="5:6" x14ac:dyDescent="0.3">
      <c r="E172" s="39" t="s">
        <v>399</v>
      </c>
      <c r="F172" s="46" t="s">
        <v>106</v>
      </c>
    </row>
    <row r="173" spans="5:6" x14ac:dyDescent="0.3">
      <c r="E173" s="38" t="s">
        <v>400</v>
      </c>
      <c r="F173" s="45" t="s">
        <v>106</v>
      </c>
    </row>
    <row r="174" spans="5:6" x14ac:dyDescent="0.3">
      <c r="E174" s="39" t="s">
        <v>401</v>
      </c>
      <c r="F174" s="46" t="s">
        <v>106</v>
      </c>
    </row>
    <row r="175" spans="5:6" x14ac:dyDescent="0.3">
      <c r="E175" s="38" t="s">
        <v>402</v>
      </c>
      <c r="F175" s="45" t="s">
        <v>106</v>
      </c>
    </row>
    <row r="176" spans="5:6" x14ac:dyDescent="0.3">
      <c r="E176" s="39" t="s">
        <v>403</v>
      </c>
      <c r="F176" s="46" t="s">
        <v>106</v>
      </c>
    </row>
    <row r="177" spans="5:6" x14ac:dyDescent="0.3">
      <c r="E177" s="38" t="s">
        <v>404</v>
      </c>
      <c r="F177" s="45" t="s">
        <v>106</v>
      </c>
    </row>
    <row r="178" spans="5:6" x14ac:dyDescent="0.3">
      <c r="E178" s="39" t="s">
        <v>405</v>
      </c>
      <c r="F178" s="46" t="s">
        <v>106</v>
      </c>
    </row>
    <row r="179" spans="5:6" x14ac:dyDescent="0.3">
      <c r="E179" s="38" t="s">
        <v>406</v>
      </c>
      <c r="F179" s="45" t="s">
        <v>106</v>
      </c>
    </row>
    <row r="180" spans="5:6" x14ac:dyDescent="0.3">
      <c r="E180" s="39" t="s">
        <v>407</v>
      </c>
      <c r="F180" s="46" t="s">
        <v>106</v>
      </c>
    </row>
    <row r="181" spans="5:6" x14ac:dyDescent="0.3">
      <c r="E181" s="38" t="s">
        <v>311</v>
      </c>
      <c r="F181" s="45" t="s">
        <v>106</v>
      </c>
    </row>
    <row r="182" spans="5:6" x14ac:dyDescent="0.3">
      <c r="E182" s="39" t="s">
        <v>408</v>
      </c>
      <c r="F182" s="46" t="s">
        <v>106</v>
      </c>
    </row>
    <row r="183" spans="5:6" x14ac:dyDescent="0.3">
      <c r="E183" s="38" t="s">
        <v>409</v>
      </c>
      <c r="F183" s="45" t="s">
        <v>106</v>
      </c>
    </row>
    <row r="184" spans="5:6" x14ac:dyDescent="0.3">
      <c r="E184" s="39" t="s">
        <v>410</v>
      </c>
      <c r="F184" s="46" t="s">
        <v>106</v>
      </c>
    </row>
    <row r="185" spans="5:6" x14ac:dyDescent="0.3">
      <c r="E185" s="38" t="s">
        <v>411</v>
      </c>
      <c r="F185" s="45" t="s">
        <v>105</v>
      </c>
    </row>
    <row r="186" spans="5:6" x14ac:dyDescent="0.3">
      <c r="E186" s="39" t="s">
        <v>412</v>
      </c>
      <c r="F186" s="46" t="s">
        <v>105</v>
      </c>
    </row>
    <row r="187" spans="5:6" x14ac:dyDescent="0.3">
      <c r="E187" s="38" t="s">
        <v>413</v>
      </c>
      <c r="F187" s="45" t="s">
        <v>105</v>
      </c>
    </row>
    <row r="188" spans="5:6" x14ac:dyDescent="0.3">
      <c r="E188" s="39" t="s">
        <v>414</v>
      </c>
      <c r="F188" s="46" t="s">
        <v>105</v>
      </c>
    </row>
    <row r="189" spans="5:6" x14ac:dyDescent="0.3">
      <c r="E189" s="38" t="s">
        <v>415</v>
      </c>
      <c r="F189" s="45" t="s">
        <v>105</v>
      </c>
    </row>
    <row r="190" spans="5:6" x14ac:dyDescent="0.3">
      <c r="E190" s="39" t="s">
        <v>416</v>
      </c>
      <c r="F190" s="46" t="s">
        <v>105</v>
      </c>
    </row>
    <row r="191" spans="5:6" x14ac:dyDescent="0.3">
      <c r="E191" s="38" t="s">
        <v>417</v>
      </c>
      <c r="F191" s="45" t="s">
        <v>105</v>
      </c>
    </row>
    <row r="192" spans="5:6" x14ac:dyDescent="0.3">
      <c r="E192" s="39" t="s">
        <v>418</v>
      </c>
      <c r="F192" s="46" t="s">
        <v>105</v>
      </c>
    </row>
    <row r="193" spans="5:6" x14ac:dyDescent="0.3">
      <c r="E193" s="38" t="s">
        <v>419</v>
      </c>
      <c r="F193" s="45" t="s">
        <v>105</v>
      </c>
    </row>
    <row r="194" spans="5:6" x14ac:dyDescent="0.3">
      <c r="E194" s="39" t="s">
        <v>420</v>
      </c>
      <c r="F194" s="46" t="s">
        <v>105</v>
      </c>
    </row>
    <row r="195" spans="5:6" x14ac:dyDescent="0.3">
      <c r="E195" s="38" t="s">
        <v>421</v>
      </c>
      <c r="F195" s="45" t="s">
        <v>105</v>
      </c>
    </row>
    <row r="196" spans="5:6" x14ac:dyDescent="0.3">
      <c r="E196" s="39" t="s">
        <v>422</v>
      </c>
      <c r="F196" s="46" t="s">
        <v>105</v>
      </c>
    </row>
    <row r="197" spans="5:6" x14ac:dyDescent="0.3">
      <c r="E197" s="38" t="s">
        <v>423</v>
      </c>
      <c r="F197" s="45" t="s">
        <v>105</v>
      </c>
    </row>
    <row r="198" spans="5:6" x14ac:dyDescent="0.3">
      <c r="E198" s="39" t="s">
        <v>424</v>
      </c>
      <c r="F198" s="46" t="s">
        <v>105</v>
      </c>
    </row>
    <row r="199" spans="5:6" x14ac:dyDescent="0.3">
      <c r="E199" s="38" t="s">
        <v>425</v>
      </c>
      <c r="F199" s="45" t="s">
        <v>105</v>
      </c>
    </row>
    <row r="200" spans="5:6" x14ac:dyDescent="0.3">
      <c r="E200" s="39" t="s">
        <v>426</v>
      </c>
      <c r="F200" s="46" t="s">
        <v>105</v>
      </c>
    </row>
    <row r="201" spans="5:6" x14ac:dyDescent="0.3">
      <c r="E201" s="38" t="s">
        <v>427</v>
      </c>
      <c r="F201" s="45" t="s">
        <v>105</v>
      </c>
    </row>
    <row r="202" spans="5:6" x14ac:dyDescent="0.3">
      <c r="E202" s="39" t="s">
        <v>428</v>
      </c>
      <c r="F202" s="46" t="s">
        <v>105</v>
      </c>
    </row>
    <row r="203" spans="5:6" x14ac:dyDescent="0.3">
      <c r="E203" s="38" t="s">
        <v>429</v>
      </c>
      <c r="F203" s="45" t="s">
        <v>105</v>
      </c>
    </row>
    <row r="204" spans="5:6" x14ac:dyDescent="0.3">
      <c r="E204" s="39" t="s">
        <v>430</v>
      </c>
      <c r="F204" s="46" t="s">
        <v>105</v>
      </c>
    </row>
    <row r="205" spans="5:6" x14ac:dyDescent="0.3">
      <c r="E205" s="38" t="s">
        <v>431</v>
      </c>
      <c r="F205" s="45" t="s">
        <v>105</v>
      </c>
    </row>
    <row r="206" spans="5:6" x14ac:dyDescent="0.3">
      <c r="E206" s="39" t="s">
        <v>432</v>
      </c>
      <c r="F206" s="46" t="s">
        <v>105</v>
      </c>
    </row>
    <row r="207" spans="5:6" x14ac:dyDescent="0.3">
      <c r="E207" s="38" t="s">
        <v>433</v>
      </c>
      <c r="F207" s="45" t="s">
        <v>105</v>
      </c>
    </row>
    <row r="208" spans="5:6" x14ac:dyDescent="0.3">
      <c r="E208" s="39" t="s">
        <v>434</v>
      </c>
      <c r="F208" s="46" t="s">
        <v>105</v>
      </c>
    </row>
    <row r="209" spans="5:6" x14ac:dyDescent="0.3">
      <c r="E209" s="38" t="s">
        <v>435</v>
      </c>
      <c r="F209" s="45" t="s">
        <v>105</v>
      </c>
    </row>
    <row r="210" spans="5:6" x14ac:dyDescent="0.3">
      <c r="E210" s="39" t="s">
        <v>436</v>
      </c>
      <c r="F210" s="46" t="s">
        <v>105</v>
      </c>
    </row>
    <row r="211" spans="5:6" x14ac:dyDescent="0.3">
      <c r="E211" s="38" t="s">
        <v>437</v>
      </c>
      <c r="F211" s="45" t="s">
        <v>105</v>
      </c>
    </row>
    <row r="212" spans="5:6" x14ac:dyDescent="0.3">
      <c r="E212" s="39" t="s">
        <v>438</v>
      </c>
      <c r="F212" s="46" t="s">
        <v>105</v>
      </c>
    </row>
    <row r="213" spans="5:6" x14ac:dyDescent="0.3">
      <c r="E213" s="38" t="s">
        <v>389</v>
      </c>
      <c r="F213" s="45" t="s">
        <v>105</v>
      </c>
    </row>
    <row r="214" spans="5:6" x14ac:dyDescent="0.3">
      <c r="E214" s="39" t="s">
        <v>439</v>
      </c>
      <c r="F214" s="46" t="s">
        <v>105</v>
      </c>
    </row>
    <row r="215" spans="5:6" x14ac:dyDescent="0.3">
      <c r="E215" s="38" t="s">
        <v>440</v>
      </c>
      <c r="F215" s="45" t="s">
        <v>105</v>
      </c>
    </row>
    <row r="216" spans="5:6" x14ac:dyDescent="0.3">
      <c r="E216" s="39" t="s">
        <v>441</v>
      </c>
      <c r="F216" s="46" t="s">
        <v>105</v>
      </c>
    </row>
    <row r="217" spans="5:6" x14ac:dyDescent="0.3">
      <c r="E217" s="38" t="s">
        <v>442</v>
      </c>
      <c r="F217" s="45" t="s">
        <v>105</v>
      </c>
    </row>
    <row r="218" spans="5:6" x14ac:dyDescent="0.3">
      <c r="E218" s="39" t="s">
        <v>443</v>
      </c>
      <c r="F218" s="46" t="s">
        <v>105</v>
      </c>
    </row>
    <row r="219" spans="5:6" x14ac:dyDescent="0.3">
      <c r="E219" s="38" t="s">
        <v>444</v>
      </c>
      <c r="F219" s="45" t="s">
        <v>105</v>
      </c>
    </row>
    <row r="220" spans="5:6" x14ac:dyDescent="0.3">
      <c r="E220" s="39" t="s">
        <v>445</v>
      </c>
      <c r="F220" s="46" t="s">
        <v>105</v>
      </c>
    </row>
    <row r="221" spans="5:6" x14ac:dyDescent="0.3">
      <c r="E221" s="38" t="s">
        <v>446</v>
      </c>
      <c r="F221" s="45" t="s">
        <v>105</v>
      </c>
    </row>
    <row r="222" spans="5:6" x14ac:dyDescent="0.3">
      <c r="E222" s="39" t="s">
        <v>447</v>
      </c>
      <c r="F222" s="46" t="s">
        <v>105</v>
      </c>
    </row>
    <row r="223" spans="5:6" x14ac:dyDescent="0.3">
      <c r="E223" s="38" t="s">
        <v>448</v>
      </c>
      <c r="F223" s="45" t="s">
        <v>105</v>
      </c>
    </row>
    <row r="224" spans="5:6" x14ac:dyDescent="0.3">
      <c r="E224" s="39" t="s">
        <v>449</v>
      </c>
      <c r="F224" s="46" t="s">
        <v>105</v>
      </c>
    </row>
    <row r="225" spans="5:6" x14ac:dyDescent="0.3">
      <c r="E225" s="38" t="s">
        <v>450</v>
      </c>
      <c r="F225" s="45" t="s">
        <v>105</v>
      </c>
    </row>
    <row r="226" spans="5:6" x14ac:dyDescent="0.3">
      <c r="E226" s="39" t="s">
        <v>451</v>
      </c>
      <c r="F226" s="46" t="s">
        <v>105</v>
      </c>
    </row>
    <row r="227" spans="5:6" x14ac:dyDescent="0.3">
      <c r="E227" s="38" t="s">
        <v>452</v>
      </c>
      <c r="F227" s="45" t="s">
        <v>105</v>
      </c>
    </row>
    <row r="228" spans="5:6" x14ac:dyDescent="0.3">
      <c r="E228" s="39" t="s">
        <v>351</v>
      </c>
      <c r="F228" s="46" t="s">
        <v>105</v>
      </c>
    </row>
    <row r="229" spans="5:6" x14ac:dyDescent="0.3">
      <c r="E229" s="38" t="s">
        <v>453</v>
      </c>
      <c r="F229" s="45" t="s">
        <v>105</v>
      </c>
    </row>
    <row r="230" spans="5:6" x14ac:dyDescent="0.3">
      <c r="E230" s="39" t="s">
        <v>454</v>
      </c>
      <c r="F230" s="46" t="s">
        <v>105</v>
      </c>
    </row>
    <row r="231" spans="5:6" x14ac:dyDescent="0.3">
      <c r="E231" s="38" t="s">
        <v>455</v>
      </c>
      <c r="F231" s="45" t="s">
        <v>105</v>
      </c>
    </row>
    <row r="232" spans="5:6" x14ac:dyDescent="0.3">
      <c r="E232" s="39" t="s">
        <v>456</v>
      </c>
      <c r="F232" s="46" t="s">
        <v>105</v>
      </c>
    </row>
    <row r="233" spans="5:6" x14ac:dyDescent="0.3">
      <c r="E233" s="38" t="s">
        <v>457</v>
      </c>
      <c r="F233" s="45" t="s">
        <v>105</v>
      </c>
    </row>
    <row r="234" spans="5:6" x14ac:dyDescent="0.3">
      <c r="E234" s="39" t="s">
        <v>458</v>
      </c>
      <c r="F234" s="46" t="s">
        <v>105</v>
      </c>
    </row>
    <row r="235" spans="5:6" x14ac:dyDescent="0.3">
      <c r="E235" s="38" t="s">
        <v>459</v>
      </c>
      <c r="F235" s="45" t="s">
        <v>105</v>
      </c>
    </row>
    <row r="236" spans="5:6" x14ac:dyDescent="0.3">
      <c r="E236" s="39" t="s">
        <v>460</v>
      </c>
      <c r="F236" s="46" t="s">
        <v>105</v>
      </c>
    </row>
    <row r="237" spans="5:6" x14ac:dyDescent="0.3">
      <c r="E237" s="38" t="s">
        <v>461</v>
      </c>
      <c r="F237" s="45" t="s">
        <v>105</v>
      </c>
    </row>
    <row r="238" spans="5:6" x14ac:dyDescent="0.3">
      <c r="E238" s="39" t="s">
        <v>462</v>
      </c>
      <c r="F238" s="46" t="s">
        <v>105</v>
      </c>
    </row>
    <row r="239" spans="5:6" x14ac:dyDescent="0.3">
      <c r="E239" s="38" t="s">
        <v>463</v>
      </c>
      <c r="F239" s="45" t="s">
        <v>105</v>
      </c>
    </row>
    <row r="240" spans="5:6" x14ac:dyDescent="0.3">
      <c r="E240" s="39" t="s">
        <v>464</v>
      </c>
      <c r="F240" s="46" t="s">
        <v>105</v>
      </c>
    </row>
    <row r="241" spans="5:6" x14ac:dyDescent="0.3">
      <c r="E241" s="38" t="s">
        <v>465</v>
      </c>
      <c r="F241" s="45" t="s">
        <v>105</v>
      </c>
    </row>
    <row r="242" spans="5:6" x14ac:dyDescent="0.3">
      <c r="E242" s="39" t="s">
        <v>466</v>
      </c>
      <c r="F242" s="46" t="s">
        <v>105</v>
      </c>
    </row>
    <row r="243" spans="5:6" x14ac:dyDescent="0.3">
      <c r="E243" s="38" t="s">
        <v>467</v>
      </c>
      <c r="F243" s="45" t="s">
        <v>104</v>
      </c>
    </row>
    <row r="244" spans="5:6" x14ac:dyDescent="0.3">
      <c r="E244" s="39" t="s">
        <v>468</v>
      </c>
      <c r="F244" s="46" t="s">
        <v>104</v>
      </c>
    </row>
    <row r="245" spans="5:6" x14ac:dyDescent="0.3">
      <c r="E245" s="38" t="s">
        <v>469</v>
      </c>
      <c r="F245" s="45" t="s">
        <v>104</v>
      </c>
    </row>
    <row r="246" spans="5:6" x14ac:dyDescent="0.3">
      <c r="E246" s="39" t="s">
        <v>470</v>
      </c>
      <c r="F246" s="46" t="s">
        <v>104</v>
      </c>
    </row>
    <row r="247" spans="5:6" x14ac:dyDescent="0.3">
      <c r="E247" s="38" t="s">
        <v>471</v>
      </c>
      <c r="F247" s="45" t="s">
        <v>104</v>
      </c>
    </row>
    <row r="248" spans="5:6" x14ac:dyDescent="0.3">
      <c r="E248" s="39" t="s">
        <v>472</v>
      </c>
      <c r="F248" s="46" t="s">
        <v>104</v>
      </c>
    </row>
    <row r="249" spans="5:6" x14ac:dyDescent="0.3">
      <c r="E249" s="38" t="s">
        <v>473</v>
      </c>
      <c r="F249" s="45" t="s">
        <v>104</v>
      </c>
    </row>
    <row r="250" spans="5:6" x14ac:dyDescent="0.3">
      <c r="E250" s="39" t="s">
        <v>474</v>
      </c>
      <c r="F250" s="46" t="s">
        <v>104</v>
      </c>
    </row>
    <row r="251" spans="5:6" x14ac:dyDescent="0.3">
      <c r="E251" s="38" t="s">
        <v>475</v>
      </c>
      <c r="F251" s="45" t="s">
        <v>104</v>
      </c>
    </row>
    <row r="252" spans="5:6" x14ac:dyDescent="0.3">
      <c r="E252" s="39" t="s">
        <v>476</v>
      </c>
      <c r="F252" s="46" t="s">
        <v>104</v>
      </c>
    </row>
    <row r="253" spans="5:6" x14ac:dyDescent="0.3">
      <c r="E253" s="38" t="s">
        <v>477</v>
      </c>
      <c r="F253" s="45" t="s">
        <v>104</v>
      </c>
    </row>
    <row r="254" spans="5:6" x14ac:dyDescent="0.3">
      <c r="E254" s="39" t="s">
        <v>478</v>
      </c>
      <c r="F254" s="46" t="s">
        <v>104</v>
      </c>
    </row>
    <row r="255" spans="5:6" x14ac:dyDescent="0.3">
      <c r="E255" s="38" t="s">
        <v>479</v>
      </c>
      <c r="F255" s="45" t="s">
        <v>104</v>
      </c>
    </row>
    <row r="256" spans="5:6" x14ac:dyDescent="0.3">
      <c r="E256" s="39" t="s">
        <v>480</v>
      </c>
      <c r="F256" s="46" t="s">
        <v>104</v>
      </c>
    </row>
    <row r="257" spans="5:6" x14ac:dyDescent="0.3">
      <c r="E257" s="38" t="s">
        <v>481</v>
      </c>
      <c r="F257" s="45" t="s">
        <v>104</v>
      </c>
    </row>
    <row r="258" spans="5:6" x14ac:dyDescent="0.3">
      <c r="E258" s="39" t="s">
        <v>482</v>
      </c>
      <c r="F258" s="46" t="s">
        <v>104</v>
      </c>
    </row>
    <row r="259" spans="5:6" x14ac:dyDescent="0.3">
      <c r="E259" s="38" t="s">
        <v>483</v>
      </c>
      <c r="F259" s="45" t="s">
        <v>104</v>
      </c>
    </row>
    <row r="260" spans="5:6" x14ac:dyDescent="0.3">
      <c r="E260" s="39" t="s">
        <v>484</v>
      </c>
      <c r="F260" s="46" t="s">
        <v>104</v>
      </c>
    </row>
    <row r="261" spans="5:6" x14ac:dyDescent="0.3">
      <c r="E261" s="38" t="s">
        <v>485</v>
      </c>
      <c r="F261" s="45" t="s">
        <v>104</v>
      </c>
    </row>
    <row r="262" spans="5:6" x14ac:dyDescent="0.3">
      <c r="E262" s="39" t="s">
        <v>486</v>
      </c>
      <c r="F262" s="46" t="s">
        <v>104</v>
      </c>
    </row>
    <row r="263" spans="5:6" x14ac:dyDescent="0.3">
      <c r="E263" s="38" t="s">
        <v>487</v>
      </c>
      <c r="F263" s="45" t="s">
        <v>104</v>
      </c>
    </row>
    <row r="264" spans="5:6" x14ac:dyDescent="0.3">
      <c r="E264" s="39" t="s">
        <v>488</v>
      </c>
      <c r="F264" s="46" t="s">
        <v>104</v>
      </c>
    </row>
    <row r="265" spans="5:6" x14ac:dyDescent="0.3">
      <c r="E265" s="38" t="s">
        <v>489</v>
      </c>
      <c r="F265" s="45" t="s">
        <v>104</v>
      </c>
    </row>
    <row r="266" spans="5:6" x14ac:dyDescent="0.3">
      <c r="E266" s="39" t="s">
        <v>490</v>
      </c>
      <c r="F266" s="46" t="s">
        <v>104</v>
      </c>
    </row>
    <row r="267" spans="5:6" x14ac:dyDescent="0.3">
      <c r="E267" s="38" t="s">
        <v>491</v>
      </c>
      <c r="F267" s="45" t="s">
        <v>104</v>
      </c>
    </row>
    <row r="268" spans="5:6" x14ac:dyDescent="0.3">
      <c r="E268" s="39" t="s">
        <v>492</v>
      </c>
      <c r="F268" s="46" t="s">
        <v>104</v>
      </c>
    </row>
    <row r="269" spans="5:6" x14ac:dyDescent="0.3">
      <c r="E269" s="38" t="s">
        <v>493</v>
      </c>
      <c r="F269" s="45" t="s">
        <v>104</v>
      </c>
    </row>
    <row r="270" spans="5:6" x14ac:dyDescent="0.3">
      <c r="E270" s="39" t="s">
        <v>494</v>
      </c>
      <c r="F270" s="46" t="s">
        <v>104</v>
      </c>
    </row>
    <row r="271" spans="5:6" x14ac:dyDescent="0.3">
      <c r="E271" s="38" t="s">
        <v>282</v>
      </c>
      <c r="F271" s="45" t="s">
        <v>104</v>
      </c>
    </row>
    <row r="272" spans="5:6" x14ac:dyDescent="0.3">
      <c r="E272" s="39" t="s">
        <v>283</v>
      </c>
      <c r="F272" s="46" t="s">
        <v>104</v>
      </c>
    </row>
    <row r="273" spans="5:6" x14ac:dyDescent="0.3">
      <c r="E273" s="38" t="s">
        <v>495</v>
      </c>
      <c r="F273" s="45" t="s">
        <v>104</v>
      </c>
    </row>
    <row r="274" spans="5:6" x14ac:dyDescent="0.3">
      <c r="E274" s="39" t="s">
        <v>496</v>
      </c>
      <c r="F274" s="46" t="s">
        <v>104</v>
      </c>
    </row>
    <row r="275" spans="5:6" x14ac:dyDescent="0.3">
      <c r="E275" s="38" t="s">
        <v>427</v>
      </c>
      <c r="F275" s="45" t="s">
        <v>104</v>
      </c>
    </row>
    <row r="276" spans="5:6" x14ac:dyDescent="0.3">
      <c r="E276" s="39" t="s">
        <v>497</v>
      </c>
      <c r="F276" s="46" t="s">
        <v>104</v>
      </c>
    </row>
    <row r="277" spans="5:6" x14ac:dyDescent="0.3">
      <c r="E277" s="38" t="s">
        <v>498</v>
      </c>
      <c r="F277" s="45" t="s">
        <v>104</v>
      </c>
    </row>
    <row r="278" spans="5:6" x14ac:dyDescent="0.3">
      <c r="E278" s="39" t="s">
        <v>499</v>
      </c>
      <c r="F278" s="46" t="s">
        <v>104</v>
      </c>
    </row>
    <row r="279" spans="5:6" x14ac:dyDescent="0.3">
      <c r="E279" s="38" t="s">
        <v>383</v>
      </c>
      <c r="F279" s="45" t="s">
        <v>104</v>
      </c>
    </row>
    <row r="280" spans="5:6" x14ac:dyDescent="0.3">
      <c r="E280" s="39" t="s">
        <v>385</v>
      </c>
      <c r="F280" s="46" t="s">
        <v>104</v>
      </c>
    </row>
    <row r="281" spans="5:6" x14ac:dyDescent="0.3">
      <c r="E281" s="38" t="s">
        <v>500</v>
      </c>
      <c r="F281" s="45" t="s">
        <v>104</v>
      </c>
    </row>
    <row r="282" spans="5:6" x14ac:dyDescent="0.3">
      <c r="E282" s="39" t="s">
        <v>501</v>
      </c>
      <c r="F282" s="46" t="s">
        <v>104</v>
      </c>
    </row>
    <row r="283" spans="5:6" x14ac:dyDescent="0.3">
      <c r="E283" s="38" t="s">
        <v>502</v>
      </c>
      <c r="F283" s="45" t="s">
        <v>104</v>
      </c>
    </row>
    <row r="284" spans="5:6" x14ac:dyDescent="0.3">
      <c r="E284" s="39" t="s">
        <v>503</v>
      </c>
      <c r="F284" s="46" t="s">
        <v>104</v>
      </c>
    </row>
    <row r="285" spans="5:6" x14ac:dyDescent="0.3">
      <c r="E285" s="38" t="s">
        <v>504</v>
      </c>
      <c r="F285" s="45" t="s">
        <v>104</v>
      </c>
    </row>
    <row r="286" spans="5:6" x14ac:dyDescent="0.3">
      <c r="E286" s="39" t="s">
        <v>298</v>
      </c>
      <c r="F286" s="46" t="s">
        <v>104</v>
      </c>
    </row>
    <row r="287" spans="5:6" x14ac:dyDescent="0.3">
      <c r="E287" s="38" t="s">
        <v>505</v>
      </c>
      <c r="F287" s="45" t="s">
        <v>104</v>
      </c>
    </row>
    <row r="288" spans="5:6" x14ac:dyDescent="0.3">
      <c r="E288" s="39" t="s">
        <v>506</v>
      </c>
      <c r="F288" s="46" t="s">
        <v>104</v>
      </c>
    </row>
    <row r="289" spans="5:6" x14ac:dyDescent="0.3">
      <c r="E289" s="38" t="s">
        <v>507</v>
      </c>
      <c r="F289" s="45" t="s">
        <v>104</v>
      </c>
    </row>
    <row r="290" spans="5:6" x14ac:dyDescent="0.3">
      <c r="E290" s="39" t="s">
        <v>392</v>
      </c>
      <c r="F290" s="46" t="s">
        <v>104</v>
      </c>
    </row>
    <row r="291" spans="5:6" x14ac:dyDescent="0.3">
      <c r="E291" s="38" t="s">
        <v>508</v>
      </c>
      <c r="F291" s="45" t="s">
        <v>104</v>
      </c>
    </row>
    <row r="292" spans="5:6" x14ac:dyDescent="0.3">
      <c r="E292" s="39" t="s">
        <v>509</v>
      </c>
      <c r="F292" s="46" t="s">
        <v>104</v>
      </c>
    </row>
    <row r="293" spans="5:6" x14ac:dyDescent="0.3">
      <c r="E293" s="38" t="s">
        <v>510</v>
      </c>
      <c r="F293" s="45" t="s">
        <v>104</v>
      </c>
    </row>
    <row r="294" spans="5:6" x14ac:dyDescent="0.3">
      <c r="E294" s="39" t="s">
        <v>511</v>
      </c>
      <c r="F294" s="46" t="s">
        <v>104</v>
      </c>
    </row>
    <row r="295" spans="5:6" x14ac:dyDescent="0.3">
      <c r="E295" s="38" t="s">
        <v>512</v>
      </c>
      <c r="F295" s="45" t="s">
        <v>104</v>
      </c>
    </row>
    <row r="296" spans="5:6" x14ac:dyDescent="0.3">
      <c r="E296" s="39" t="s">
        <v>513</v>
      </c>
      <c r="F296" s="46" t="s">
        <v>104</v>
      </c>
    </row>
    <row r="297" spans="5:6" x14ac:dyDescent="0.3">
      <c r="E297" s="38" t="s">
        <v>514</v>
      </c>
      <c r="F297" s="45" t="s">
        <v>104</v>
      </c>
    </row>
    <row r="298" spans="5:6" x14ac:dyDescent="0.3">
      <c r="E298" s="39" t="s">
        <v>515</v>
      </c>
      <c r="F298" s="46" t="s">
        <v>104</v>
      </c>
    </row>
    <row r="299" spans="5:6" x14ac:dyDescent="0.3">
      <c r="E299" s="38" t="s">
        <v>516</v>
      </c>
      <c r="F299" s="45" t="s">
        <v>104</v>
      </c>
    </row>
    <row r="300" spans="5:6" x14ac:dyDescent="0.3">
      <c r="E300" s="39" t="s">
        <v>517</v>
      </c>
      <c r="F300" s="46" t="s">
        <v>104</v>
      </c>
    </row>
    <row r="301" spans="5:6" x14ac:dyDescent="0.3">
      <c r="E301" s="38" t="s">
        <v>518</v>
      </c>
      <c r="F301" s="45" t="s">
        <v>104</v>
      </c>
    </row>
    <row r="302" spans="5:6" x14ac:dyDescent="0.3">
      <c r="E302" s="39" t="s">
        <v>519</v>
      </c>
      <c r="F302" s="46" t="s">
        <v>104</v>
      </c>
    </row>
    <row r="303" spans="5:6" x14ac:dyDescent="0.3">
      <c r="E303" s="38" t="s">
        <v>311</v>
      </c>
      <c r="F303" s="45" t="s">
        <v>104</v>
      </c>
    </row>
    <row r="304" spans="5:6" x14ac:dyDescent="0.3">
      <c r="E304" s="39" t="s">
        <v>520</v>
      </c>
      <c r="F304" s="46" t="s">
        <v>104</v>
      </c>
    </row>
    <row r="305" spans="5:6" x14ac:dyDescent="0.3">
      <c r="E305" s="38" t="s">
        <v>353</v>
      </c>
      <c r="F305" s="45" t="s">
        <v>104</v>
      </c>
    </row>
    <row r="306" spans="5:6" x14ac:dyDescent="0.3">
      <c r="E306" s="39" t="s">
        <v>521</v>
      </c>
      <c r="F306" s="46" t="s">
        <v>61</v>
      </c>
    </row>
    <row r="307" spans="5:6" x14ac:dyDescent="0.3">
      <c r="E307" s="38" t="s">
        <v>522</v>
      </c>
      <c r="F307" s="45" t="s">
        <v>61</v>
      </c>
    </row>
    <row r="308" spans="5:6" x14ac:dyDescent="0.3">
      <c r="E308" s="39" t="s">
        <v>523</v>
      </c>
      <c r="F308" s="46" t="s">
        <v>61</v>
      </c>
    </row>
    <row r="309" spans="5:6" x14ac:dyDescent="0.3">
      <c r="E309" s="38" t="s">
        <v>524</v>
      </c>
      <c r="F309" s="45" t="s">
        <v>61</v>
      </c>
    </row>
    <row r="310" spans="5:6" x14ac:dyDescent="0.3">
      <c r="E310" s="39" t="s">
        <v>525</v>
      </c>
      <c r="F310" s="46" t="s">
        <v>61</v>
      </c>
    </row>
    <row r="311" spans="5:6" x14ac:dyDescent="0.3">
      <c r="E311" s="38" t="s">
        <v>526</v>
      </c>
      <c r="F311" s="45" t="s">
        <v>61</v>
      </c>
    </row>
    <row r="312" spans="5:6" x14ac:dyDescent="0.3">
      <c r="E312" s="39" t="s">
        <v>527</v>
      </c>
      <c r="F312" s="46" t="s">
        <v>61</v>
      </c>
    </row>
    <row r="313" spans="5:6" x14ac:dyDescent="0.3">
      <c r="E313" s="38" t="s">
        <v>528</v>
      </c>
      <c r="F313" s="45" t="s">
        <v>61</v>
      </c>
    </row>
    <row r="314" spans="5:6" x14ac:dyDescent="0.3">
      <c r="E314" s="39" t="s">
        <v>529</v>
      </c>
      <c r="F314" s="46" t="s">
        <v>103</v>
      </c>
    </row>
    <row r="315" spans="5:6" x14ac:dyDescent="0.3">
      <c r="E315" s="38" t="s">
        <v>530</v>
      </c>
      <c r="F315" s="45" t="s">
        <v>103</v>
      </c>
    </row>
    <row r="316" spans="5:6" x14ac:dyDescent="0.3">
      <c r="E316" s="39" t="s">
        <v>531</v>
      </c>
      <c r="F316" s="46" t="s">
        <v>103</v>
      </c>
    </row>
    <row r="317" spans="5:6" x14ac:dyDescent="0.3">
      <c r="E317" s="38" t="s">
        <v>532</v>
      </c>
      <c r="F317" s="45" t="s">
        <v>533</v>
      </c>
    </row>
    <row r="318" spans="5:6" x14ac:dyDescent="0.3">
      <c r="E318" s="39" t="s">
        <v>534</v>
      </c>
      <c r="F318" s="46" t="s">
        <v>102</v>
      </c>
    </row>
    <row r="319" spans="5:6" x14ac:dyDescent="0.3">
      <c r="E319" s="38" t="s">
        <v>535</v>
      </c>
      <c r="F319" s="45" t="s">
        <v>102</v>
      </c>
    </row>
    <row r="320" spans="5:6" x14ac:dyDescent="0.3">
      <c r="E320" s="39" t="s">
        <v>536</v>
      </c>
      <c r="F320" s="46" t="s">
        <v>102</v>
      </c>
    </row>
    <row r="321" spans="5:6" x14ac:dyDescent="0.3">
      <c r="E321" s="38" t="s">
        <v>537</v>
      </c>
      <c r="F321" s="45" t="s">
        <v>102</v>
      </c>
    </row>
    <row r="322" spans="5:6" x14ac:dyDescent="0.3">
      <c r="E322" s="39" t="s">
        <v>538</v>
      </c>
      <c r="F322" s="46" t="s">
        <v>102</v>
      </c>
    </row>
    <row r="323" spans="5:6" x14ac:dyDescent="0.3">
      <c r="E323" s="38" t="s">
        <v>539</v>
      </c>
      <c r="F323" s="45" t="s">
        <v>102</v>
      </c>
    </row>
    <row r="324" spans="5:6" x14ac:dyDescent="0.3">
      <c r="E324" s="39" t="s">
        <v>254</v>
      </c>
      <c r="F324" s="46" t="s">
        <v>102</v>
      </c>
    </row>
    <row r="325" spans="5:6" x14ac:dyDescent="0.3">
      <c r="E325" s="38" t="s">
        <v>540</v>
      </c>
      <c r="F325" s="45" t="s">
        <v>102</v>
      </c>
    </row>
    <row r="326" spans="5:6" x14ac:dyDescent="0.3">
      <c r="E326" s="39" t="s">
        <v>541</v>
      </c>
      <c r="F326" s="46" t="s">
        <v>102</v>
      </c>
    </row>
    <row r="327" spans="5:6" x14ac:dyDescent="0.3">
      <c r="E327" s="38" t="s">
        <v>260</v>
      </c>
      <c r="F327" s="45" t="s">
        <v>102</v>
      </c>
    </row>
    <row r="328" spans="5:6" x14ac:dyDescent="0.3">
      <c r="E328" s="39" t="s">
        <v>542</v>
      </c>
      <c r="F328" s="46" t="s">
        <v>102</v>
      </c>
    </row>
    <row r="329" spans="5:6" x14ac:dyDescent="0.3">
      <c r="E329" s="38" t="s">
        <v>364</v>
      </c>
      <c r="F329" s="45" t="s">
        <v>102</v>
      </c>
    </row>
    <row r="330" spans="5:6" x14ac:dyDescent="0.3">
      <c r="E330" s="39" t="s">
        <v>543</v>
      </c>
      <c r="F330" s="46" t="s">
        <v>102</v>
      </c>
    </row>
    <row r="331" spans="5:6" x14ac:dyDescent="0.3">
      <c r="E331" s="38" t="s">
        <v>544</v>
      </c>
      <c r="F331" s="45" t="s">
        <v>102</v>
      </c>
    </row>
    <row r="332" spans="5:6" x14ac:dyDescent="0.3">
      <c r="E332" s="39" t="s">
        <v>545</v>
      </c>
      <c r="F332" s="46" t="s">
        <v>102</v>
      </c>
    </row>
    <row r="333" spans="5:6" x14ac:dyDescent="0.3">
      <c r="E333" s="38" t="s">
        <v>546</v>
      </c>
      <c r="F333" s="45" t="s">
        <v>102</v>
      </c>
    </row>
    <row r="334" spans="5:6" x14ac:dyDescent="0.3">
      <c r="E334" s="39" t="s">
        <v>273</v>
      </c>
      <c r="F334" s="46" t="s">
        <v>102</v>
      </c>
    </row>
    <row r="335" spans="5:6" x14ac:dyDescent="0.3">
      <c r="E335" s="38" t="s">
        <v>547</v>
      </c>
      <c r="F335" s="45" t="s">
        <v>102</v>
      </c>
    </row>
    <row r="336" spans="5:6" x14ac:dyDescent="0.3">
      <c r="E336" s="39" t="s">
        <v>276</v>
      </c>
      <c r="F336" s="46" t="s">
        <v>102</v>
      </c>
    </row>
    <row r="337" spans="5:6" x14ac:dyDescent="0.3">
      <c r="E337" s="38" t="s">
        <v>548</v>
      </c>
      <c r="F337" s="45" t="s">
        <v>102</v>
      </c>
    </row>
    <row r="338" spans="5:6" x14ac:dyDescent="0.3">
      <c r="E338" s="39" t="s">
        <v>549</v>
      </c>
      <c r="F338" s="46" t="s">
        <v>102</v>
      </c>
    </row>
    <row r="339" spans="5:6" x14ac:dyDescent="0.3">
      <c r="E339" s="38" t="s">
        <v>550</v>
      </c>
      <c r="F339" s="45" t="s">
        <v>102</v>
      </c>
    </row>
    <row r="340" spans="5:6" x14ac:dyDescent="0.3">
      <c r="E340" s="39" t="s">
        <v>551</v>
      </c>
      <c r="F340" s="46" t="s">
        <v>102</v>
      </c>
    </row>
    <row r="341" spans="5:6" x14ac:dyDescent="0.3">
      <c r="E341" s="38" t="s">
        <v>552</v>
      </c>
      <c r="F341" s="45" t="s">
        <v>102</v>
      </c>
    </row>
    <row r="342" spans="5:6" x14ac:dyDescent="0.3">
      <c r="E342" s="39" t="s">
        <v>553</v>
      </c>
      <c r="F342" s="46" t="s">
        <v>102</v>
      </c>
    </row>
    <row r="343" spans="5:6" x14ac:dyDescent="0.3">
      <c r="E343" s="38" t="s">
        <v>554</v>
      </c>
      <c r="F343" s="45" t="s">
        <v>102</v>
      </c>
    </row>
    <row r="344" spans="5:6" x14ac:dyDescent="0.3">
      <c r="E344" s="39" t="s">
        <v>555</v>
      </c>
      <c r="F344" s="46" t="s">
        <v>102</v>
      </c>
    </row>
    <row r="345" spans="5:6" x14ac:dyDescent="0.3">
      <c r="E345" s="38" t="s">
        <v>556</v>
      </c>
      <c r="F345" s="45" t="s">
        <v>102</v>
      </c>
    </row>
    <row r="346" spans="5:6" x14ac:dyDescent="0.3">
      <c r="E346" s="39" t="s">
        <v>557</v>
      </c>
      <c r="F346" s="46" t="s">
        <v>102</v>
      </c>
    </row>
    <row r="347" spans="5:6" x14ac:dyDescent="0.3">
      <c r="E347" s="38" t="s">
        <v>558</v>
      </c>
      <c r="F347" s="45" t="s">
        <v>102</v>
      </c>
    </row>
    <row r="348" spans="5:6" x14ac:dyDescent="0.3">
      <c r="E348" s="39" t="s">
        <v>559</v>
      </c>
      <c r="F348" s="46" t="s">
        <v>102</v>
      </c>
    </row>
    <row r="349" spans="5:6" x14ac:dyDescent="0.3">
      <c r="E349" s="38" t="s">
        <v>282</v>
      </c>
      <c r="F349" s="45" t="s">
        <v>102</v>
      </c>
    </row>
    <row r="350" spans="5:6" x14ac:dyDescent="0.3">
      <c r="E350" s="39" t="s">
        <v>283</v>
      </c>
      <c r="F350" s="46" t="s">
        <v>102</v>
      </c>
    </row>
    <row r="351" spans="5:6" x14ac:dyDescent="0.3">
      <c r="E351" s="38" t="s">
        <v>382</v>
      </c>
      <c r="F351" s="45" t="s">
        <v>102</v>
      </c>
    </row>
    <row r="352" spans="5:6" x14ac:dyDescent="0.3">
      <c r="E352" s="39" t="s">
        <v>427</v>
      </c>
      <c r="F352" s="46" t="s">
        <v>102</v>
      </c>
    </row>
    <row r="353" spans="5:6" x14ac:dyDescent="0.3">
      <c r="E353" s="38" t="s">
        <v>287</v>
      </c>
      <c r="F353" s="45" t="s">
        <v>102</v>
      </c>
    </row>
    <row r="354" spans="5:6" x14ac:dyDescent="0.3">
      <c r="E354" s="39" t="s">
        <v>560</v>
      </c>
      <c r="F354" s="46" t="s">
        <v>102</v>
      </c>
    </row>
    <row r="355" spans="5:6" x14ac:dyDescent="0.3">
      <c r="E355" s="38" t="s">
        <v>561</v>
      </c>
      <c r="F355" s="45" t="s">
        <v>102</v>
      </c>
    </row>
    <row r="356" spans="5:6" x14ac:dyDescent="0.3">
      <c r="E356" s="39" t="s">
        <v>562</v>
      </c>
      <c r="F356" s="46" t="s">
        <v>102</v>
      </c>
    </row>
    <row r="357" spans="5:6" x14ac:dyDescent="0.3">
      <c r="E357" s="38" t="s">
        <v>291</v>
      </c>
      <c r="F357" s="45" t="s">
        <v>102</v>
      </c>
    </row>
    <row r="358" spans="5:6" x14ac:dyDescent="0.3">
      <c r="E358" s="39" t="s">
        <v>563</v>
      </c>
      <c r="F358" s="46" t="s">
        <v>102</v>
      </c>
    </row>
    <row r="359" spans="5:6" x14ac:dyDescent="0.3">
      <c r="E359" s="38" t="s">
        <v>293</v>
      </c>
      <c r="F359" s="45" t="s">
        <v>102</v>
      </c>
    </row>
    <row r="360" spans="5:6" x14ac:dyDescent="0.3">
      <c r="E360" s="39" t="s">
        <v>564</v>
      </c>
      <c r="F360" s="46" t="s">
        <v>102</v>
      </c>
    </row>
    <row r="361" spans="5:6" x14ac:dyDescent="0.3">
      <c r="E361" s="38" t="s">
        <v>296</v>
      </c>
      <c r="F361" s="45" t="s">
        <v>102</v>
      </c>
    </row>
    <row r="362" spans="5:6" x14ac:dyDescent="0.3">
      <c r="E362" s="39" t="s">
        <v>565</v>
      </c>
      <c r="F362" s="46" t="s">
        <v>102</v>
      </c>
    </row>
    <row r="363" spans="5:6" x14ac:dyDescent="0.3">
      <c r="E363" s="38" t="s">
        <v>566</v>
      </c>
      <c r="F363" s="45" t="s">
        <v>102</v>
      </c>
    </row>
    <row r="364" spans="5:6" x14ac:dyDescent="0.3">
      <c r="E364" s="39" t="s">
        <v>567</v>
      </c>
      <c r="F364" s="46" t="s">
        <v>102</v>
      </c>
    </row>
    <row r="365" spans="5:6" x14ac:dyDescent="0.3">
      <c r="E365" s="38" t="s">
        <v>439</v>
      </c>
      <c r="F365" s="45" t="s">
        <v>102</v>
      </c>
    </row>
    <row r="366" spans="5:6" x14ac:dyDescent="0.3">
      <c r="E366" s="39" t="s">
        <v>568</v>
      </c>
      <c r="F366" s="46" t="s">
        <v>102</v>
      </c>
    </row>
    <row r="367" spans="5:6" x14ac:dyDescent="0.3">
      <c r="E367" s="38" t="s">
        <v>569</v>
      </c>
      <c r="F367" s="45" t="s">
        <v>102</v>
      </c>
    </row>
    <row r="368" spans="5:6" x14ac:dyDescent="0.3">
      <c r="E368" s="39" t="s">
        <v>570</v>
      </c>
      <c r="F368" s="46" t="s">
        <v>102</v>
      </c>
    </row>
    <row r="369" spans="5:6" x14ac:dyDescent="0.3">
      <c r="E369" s="38" t="s">
        <v>571</v>
      </c>
      <c r="F369" s="45" t="s">
        <v>102</v>
      </c>
    </row>
    <row r="370" spans="5:6" x14ac:dyDescent="0.3">
      <c r="E370" s="39" t="s">
        <v>394</v>
      </c>
      <c r="F370" s="46" t="s">
        <v>102</v>
      </c>
    </row>
    <row r="371" spans="5:6" x14ac:dyDescent="0.3">
      <c r="E371" s="38" t="s">
        <v>572</v>
      </c>
      <c r="F371" s="45" t="s">
        <v>102</v>
      </c>
    </row>
    <row r="372" spans="5:6" x14ac:dyDescent="0.3">
      <c r="E372" s="39" t="s">
        <v>573</v>
      </c>
      <c r="F372" s="46" t="s">
        <v>102</v>
      </c>
    </row>
    <row r="373" spans="5:6" x14ac:dyDescent="0.3">
      <c r="E373" s="38" t="s">
        <v>574</v>
      </c>
      <c r="F373" s="45" t="s">
        <v>102</v>
      </c>
    </row>
    <row r="374" spans="5:6" x14ac:dyDescent="0.3">
      <c r="E374" s="39" t="s">
        <v>575</v>
      </c>
      <c r="F374" s="46" t="s">
        <v>102</v>
      </c>
    </row>
    <row r="375" spans="5:6" x14ac:dyDescent="0.3">
      <c r="E375" s="38" t="s">
        <v>576</v>
      </c>
      <c r="F375" s="45" t="s">
        <v>102</v>
      </c>
    </row>
    <row r="376" spans="5:6" x14ac:dyDescent="0.3">
      <c r="E376" s="39" t="s">
        <v>577</v>
      </c>
      <c r="F376" s="46" t="s">
        <v>102</v>
      </c>
    </row>
    <row r="377" spans="5:6" x14ac:dyDescent="0.3">
      <c r="E377" s="38" t="s">
        <v>306</v>
      </c>
      <c r="F377" s="45" t="s">
        <v>102</v>
      </c>
    </row>
    <row r="378" spans="5:6" x14ac:dyDescent="0.3">
      <c r="E378" s="39" t="s">
        <v>578</v>
      </c>
      <c r="F378" s="46" t="s">
        <v>102</v>
      </c>
    </row>
    <row r="379" spans="5:6" x14ac:dyDescent="0.3">
      <c r="E379" s="38" t="s">
        <v>579</v>
      </c>
      <c r="F379" s="45" t="s">
        <v>102</v>
      </c>
    </row>
    <row r="380" spans="5:6" x14ac:dyDescent="0.3">
      <c r="E380" s="39" t="s">
        <v>406</v>
      </c>
      <c r="F380" s="46" t="s">
        <v>102</v>
      </c>
    </row>
    <row r="381" spans="5:6" x14ac:dyDescent="0.3">
      <c r="E381" s="38" t="s">
        <v>580</v>
      </c>
      <c r="F381" s="45" t="s">
        <v>102</v>
      </c>
    </row>
    <row r="382" spans="5:6" x14ac:dyDescent="0.3">
      <c r="E382" s="39" t="s">
        <v>581</v>
      </c>
      <c r="F382" s="46" t="s">
        <v>102</v>
      </c>
    </row>
    <row r="383" spans="5:6" x14ac:dyDescent="0.3">
      <c r="E383" s="38" t="s">
        <v>582</v>
      </c>
      <c r="F383" s="45" t="s">
        <v>102</v>
      </c>
    </row>
    <row r="384" spans="5:6" x14ac:dyDescent="0.3">
      <c r="E384" s="39" t="s">
        <v>311</v>
      </c>
      <c r="F384" s="46" t="s">
        <v>102</v>
      </c>
    </row>
    <row r="385" spans="5:6" x14ac:dyDescent="0.3">
      <c r="E385" s="38" t="s">
        <v>583</v>
      </c>
      <c r="F385" s="45" t="s">
        <v>101</v>
      </c>
    </row>
    <row r="386" spans="5:6" x14ac:dyDescent="0.3">
      <c r="E386" s="39" t="s">
        <v>584</v>
      </c>
      <c r="F386" s="46" t="s">
        <v>101</v>
      </c>
    </row>
    <row r="387" spans="5:6" x14ac:dyDescent="0.3">
      <c r="E387" s="38" t="s">
        <v>585</v>
      </c>
      <c r="F387" s="45" t="s">
        <v>101</v>
      </c>
    </row>
    <row r="388" spans="5:6" x14ac:dyDescent="0.3">
      <c r="E388" s="39" t="s">
        <v>535</v>
      </c>
      <c r="F388" s="46" t="s">
        <v>101</v>
      </c>
    </row>
    <row r="389" spans="5:6" x14ac:dyDescent="0.3">
      <c r="E389" s="38" t="s">
        <v>248</v>
      </c>
      <c r="F389" s="45" t="s">
        <v>101</v>
      </c>
    </row>
    <row r="390" spans="5:6" x14ac:dyDescent="0.3">
      <c r="E390" s="39" t="s">
        <v>586</v>
      </c>
      <c r="F390" s="46" t="s">
        <v>101</v>
      </c>
    </row>
    <row r="391" spans="5:6" x14ac:dyDescent="0.3">
      <c r="E391" s="38" t="s">
        <v>587</v>
      </c>
      <c r="F391" s="45" t="s">
        <v>101</v>
      </c>
    </row>
    <row r="392" spans="5:6" x14ac:dyDescent="0.3">
      <c r="E392" s="39" t="s">
        <v>588</v>
      </c>
      <c r="F392" s="46" t="s">
        <v>101</v>
      </c>
    </row>
    <row r="393" spans="5:6" x14ac:dyDescent="0.3">
      <c r="E393" s="38" t="s">
        <v>589</v>
      </c>
      <c r="F393" s="45" t="s">
        <v>101</v>
      </c>
    </row>
    <row r="394" spans="5:6" x14ac:dyDescent="0.3">
      <c r="E394" s="39" t="s">
        <v>590</v>
      </c>
      <c r="F394" s="46" t="s">
        <v>101</v>
      </c>
    </row>
    <row r="395" spans="5:6" x14ac:dyDescent="0.3">
      <c r="E395" s="38" t="s">
        <v>250</v>
      </c>
      <c r="F395" s="45" t="s">
        <v>101</v>
      </c>
    </row>
    <row r="396" spans="5:6" x14ac:dyDescent="0.3">
      <c r="E396" s="39" t="s">
        <v>591</v>
      </c>
      <c r="F396" s="46" t="s">
        <v>101</v>
      </c>
    </row>
    <row r="397" spans="5:6" x14ac:dyDescent="0.3">
      <c r="E397" s="38" t="s">
        <v>592</v>
      </c>
      <c r="F397" s="45" t="s">
        <v>101</v>
      </c>
    </row>
    <row r="398" spans="5:6" x14ac:dyDescent="0.3">
      <c r="E398" s="39" t="s">
        <v>593</v>
      </c>
      <c r="F398" s="46" t="s">
        <v>101</v>
      </c>
    </row>
    <row r="399" spans="5:6" x14ac:dyDescent="0.3">
      <c r="E399" s="38" t="s">
        <v>594</v>
      </c>
      <c r="F399" s="45" t="s">
        <v>101</v>
      </c>
    </row>
    <row r="400" spans="5:6" x14ac:dyDescent="0.3">
      <c r="E400" s="39" t="s">
        <v>595</v>
      </c>
      <c r="F400" s="46" t="s">
        <v>101</v>
      </c>
    </row>
    <row r="401" spans="5:6" x14ac:dyDescent="0.3">
      <c r="E401" s="38" t="s">
        <v>596</v>
      </c>
      <c r="F401" s="45" t="s">
        <v>101</v>
      </c>
    </row>
    <row r="402" spans="5:6" x14ac:dyDescent="0.3">
      <c r="E402" s="39" t="s">
        <v>597</v>
      </c>
      <c r="F402" s="46" t="s">
        <v>101</v>
      </c>
    </row>
    <row r="403" spans="5:6" x14ac:dyDescent="0.3">
      <c r="E403" s="38" t="s">
        <v>254</v>
      </c>
      <c r="F403" s="45" t="s">
        <v>101</v>
      </c>
    </row>
    <row r="404" spans="5:6" x14ac:dyDescent="0.3">
      <c r="E404" s="39" t="s">
        <v>598</v>
      </c>
      <c r="F404" s="46" t="s">
        <v>101</v>
      </c>
    </row>
    <row r="405" spans="5:6" x14ac:dyDescent="0.3">
      <c r="E405" s="38" t="s">
        <v>599</v>
      </c>
      <c r="F405" s="45" t="s">
        <v>101</v>
      </c>
    </row>
    <row r="406" spans="5:6" x14ac:dyDescent="0.3">
      <c r="E406" s="39" t="s">
        <v>360</v>
      </c>
      <c r="F406" s="46" t="s">
        <v>101</v>
      </c>
    </row>
    <row r="407" spans="5:6" x14ac:dyDescent="0.3">
      <c r="E407" s="38" t="s">
        <v>600</v>
      </c>
      <c r="F407" s="45" t="s">
        <v>101</v>
      </c>
    </row>
    <row r="408" spans="5:6" x14ac:dyDescent="0.3">
      <c r="E408" s="39" t="s">
        <v>601</v>
      </c>
      <c r="F408" s="46" t="s">
        <v>101</v>
      </c>
    </row>
    <row r="409" spans="5:6" x14ac:dyDescent="0.3">
      <c r="E409" s="38" t="s">
        <v>602</v>
      </c>
      <c r="F409" s="45" t="s">
        <v>101</v>
      </c>
    </row>
    <row r="410" spans="5:6" x14ac:dyDescent="0.3">
      <c r="E410" s="39" t="s">
        <v>603</v>
      </c>
      <c r="F410" s="46" t="s">
        <v>101</v>
      </c>
    </row>
    <row r="411" spans="5:6" x14ac:dyDescent="0.3">
      <c r="E411" s="38" t="s">
        <v>604</v>
      </c>
      <c r="F411" s="45" t="s">
        <v>101</v>
      </c>
    </row>
    <row r="412" spans="5:6" x14ac:dyDescent="0.3">
      <c r="E412" s="39" t="s">
        <v>256</v>
      </c>
      <c r="F412" s="46" t="s">
        <v>101</v>
      </c>
    </row>
    <row r="413" spans="5:6" x14ac:dyDescent="0.3">
      <c r="E413" s="38" t="s">
        <v>259</v>
      </c>
      <c r="F413" s="45" t="s">
        <v>101</v>
      </c>
    </row>
    <row r="414" spans="5:6" x14ac:dyDescent="0.3">
      <c r="E414" s="39" t="s">
        <v>260</v>
      </c>
      <c r="F414" s="46" t="s">
        <v>101</v>
      </c>
    </row>
    <row r="415" spans="5:6" x14ac:dyDescent="0.3">
      <c r="E415" s="38" t="s">
        <v>605</v>
      </c>
      <c r="F415" s="45" t="s">
        <v>101</v>
      </c>
    </row>
    <row r="416" spans="5:6" x14ac:dyDescent="0.3">
      <c r="E416" s="39" t="s">
        <v>606</v>
      </c>
      <c r="F416" s="46" t="s">
        <v>101</v>
      </c>
    </row>
    <row r="417" spans="5:6" x14ac:dyDescent="0.3">
      <c r="E417" s="38" t="s">
        <v>607</v>
      </c>
      <c r="F417" s="45" t="s">
        <v>101</v>
      </c>
    </row>
    <row r="418" spans="5:6" x14ac:dyDescent="0.3">
      <c r="E418" s="39" t="s">
        <v>262</v>
      </c>
      <c r="F418" s="46" t="s">
        <v>101</v>
      </c>
    </row>
    <row r="419" spans="5:6" x14ac:dyDescent="0.3">
      <c r="E419" s="38" t="s">
        <v>608</v>
      </c>
      <c r="F419" s="45" t="s">
        <v>101</v>
      </c>
    </row>
    <row r="420" spans="5:6" x14ac:dyDescent="0.3">
      <c r="E420" s="39" t="s">
        <v>364</v>
      </c>
      <c r="F420" s="46" t="s">
        <v>101</v>
      </c>
    </row>
    <row r="421" spans="5:6" x14ac:dyDescent="0.3">
      <c r="E421" s="38" t="s">
        <v>609</v>
      </c>
      <c r="F421" s="45" t="s">
        <v>101</v>
      </c>
    </row>
    <row r="422" spans="5:6" x14ac:dyDescent="0.3">
      <c r="E422" s="39" t="s">
        <v>610</v>
      </c>
      <c r="F422" s="46" t="s">
        <v>101</v>
      </c>
    </row>
    <row r="423" spans="5:6" x14ac:dyDescent="0.3">
      <c r="E423" s="38" t="s">
        <v>367</v>
      </c>
      <c r="F423" s="45" t="s">
        <v>101</v>
      </c>
    </row>
    <row r="424" spans="5:6" x14ac:dyDescent="0.3">
      <c r="E424" s="39" t="s">
        <v>611</v>
      </c>
      <c r="F424" s="46" t="s">
        <v>101</v>
      </c>
    </row>
    <row r="425" spans="5:6" x14ac:dyDescent="0.3">
      <c r="E425" s="38" t="s">
        <v>543</v>
      </c>
      <c r="F425" s="45" t="s">
        <v>101</v>
      </c>
    </row>
    <row r="426" spans="5:6" x14ac:dyDescent="0.3">
      <c r="E426" s="39" t="s">
        <v>612</v>
      </c>
      <c r="F426" s="46" t="s">
        <v>101</v>
      </c>
    </row>
    <row r="427" spans="5:6" x14ac:dyDescent="0.3">
      <c r="E427" s="38" t="s">
        <v>613</v>
      </c>
      <c r="F427" s="45" t="s">
        <v>101</v>
      </c>
    </row>
    <row r="428" spans="5:6" x14ac:dyDescent="0.3">
      <c r="E428" s="39" t="s">
        <v>614</v>
      </c>
      <c r="F428" s="46" t="s">
        <v>101</v>
      </c>
    </row>
    <row r="429" spans="5:6" x14ac:dyDescent="0.3">
      <c r="E429" s="38" t="s">
        <v>615</v>
      </c>
      <c r="F429" s="45" t="s">
        <v>101</v>
      </c>
    </row>
    <row r="430" spans="5:6" x14ac:dyDescent="0.3">
      <c r="E430" s="39" t="s">
        <v>616</v>
      </c>
      <c r="F430" s="46" t="s">
        <v>101</v>
      </c>
    </row>
    <row r="431" spans="5:6" x14ac:dyDescent="0.3">
      <c r="E431" s="38" t="s">
        <v>617</v>
      </c>
      <c r="F431" s="45" t="s">
        <v>101</v>
      </c>
    </row>
    <row r="432" spans="5:6" x14ac:dyDescent="0.3">
      <c r="E432" s="39" t="s">
        <v>484</v>
      </c>
      <c r="F432" s="46" t="s">
        <v>101</v>
      </c>
    </row>
    <row r="433" spans="5:6" x14ac:dyDescent="0.3">
      <c r="E433" s="38" t="s">
        <v>618</v>
      </c>
      <c r="F433" s="45" t="s">
        <v>101</v>
      </c>
    </row>
    <row r="434" spans="5:6" x14ac:dyDescent="0.3">
      <c r="E434" s="39" t="s">
        <v>619</v>
      </c>
      <c r="F434" s="46" t="s">
        <v>101</v>
      </c>
    </row>
    <row r="435" spans="5:6" x14ac:dyDescent="0.3">
      <c r="E435" s="38" t="s">
        <v>620</v>
      </c>
      <c r="F435" s="45" t="s">
        <v>101</v>
      </c>
    </row>
    <row r="436" spans="5:6" x14ac:dyDescent="0.3">
      <c r="E436" s="39" t="s">
        <v>486</v>
      </c>
      <c r="F436" s="46" t="s">
        <v>101</v>
      </c>
    </row>
    <row r="437" spans="5:6" x14ac:dyDescent="0.3">
      <c r="E437" s="38" t="s">
        <v>621</v>
      </c>
      <c r="F437" s="45" t="s">
        <v>101</v>
      </c>
    </row>
    <row r="438" spans="5:6" x14ac:dyDescent="0.3">
      <c r="E438" s="39" t="s">
        <v>622</v>
      </c>
      <c r="F438" s="46" t="s">
        <v>101</v>
      </c>
    </row>
    <row r="439" spans="5:6" x14ac:dyDescent="0.3">
      <c r="E439" s="38" t="s">
        <v>623</v>
      </c>
      <c r="F439" s="45" t="s">
        <v>101</v>
      </c>
    </row>
    <row r="440" spans="5:6" x14ac:dyDescent="0.3">
      <c r="E440" s="39" t="s">
        <v>275</v>
      </c>
      <c r="F440" s="46" t="s">
        <v>101</v>
      </c>
    </row>
    <row r="441" spans="5:6" x14ac:dyDescent="0.3">
      <c r="E441" s="38" t="s">
        <v>624</v>
      </c>
      <c r="F441" s="45" t="s">
        <v>101</v>
      </c>
    </row>
    <row r="442" spans="5:6" x14ac:dyDescent="0.3">
      <c r="E442" s="39" t="s">
        <v>625</v>
      </c>
      <c r="F442" s="46" t="s">
        <v>101</v>
      </c>
    </row>
    <row r="443" spans="5:6" x14ac:dyDescent="0.3">
      <c r="E443" s="38" t="s">
        <v>276</v>
      </c>
      <c r="F443" s="45" t="s">
        <v>101</v>
      </c>
    </row>
    <row r="444" spans="5:6" x14ac:dyDescent="0.3">
      <c r="E444" s="39" t="s">
        <v>373</v>
      </c>
      <c r="F444" s="46" t="s">
        <v>101</v>
      </c>
    </row>
    <row r="445" spans="5:6" x14ac:dyDescent="0.3">
      <c r="E445" s="38" t="s">
        <v>626</v>
      </c>
      <c r="F445" s="45" t="s">
        <v>101</v>
      </c>
    </row>
    <row r="446" spans="5:6" x14ac:dyDescent="0.3">
      <c r="E446" s="39" t="s">
        <v>627</v>
      </c>
      <c r="F446" s="46" t="s">
        <v>101</v>
      </c>
    </row>
    <row r="447" spans="5:6" x14ac:dyDescent="0.3">
      <c r="E447" s="38" t="s">
        <v>628</v>
      </c>
      <c r="F447" s="45" t="s">
        <v>101</v>
      </c>
    </row>
    <row r="448" spans="5:6" x14ac:dyDescent="0.3">
      <c r="E448" s="39" t="s">
        <v>629</v>
      </c>
      <c r="F448" s="46" t="s">
        <v>101</v>
      </c>
    </row>
    <row r="449" spans="5:6" x14ac:dyDescent="0.3">
      <c r="E449" s="38" t="s">
        <v>630</v>
      </c>
      <c r="F449" s="45" t="s">
        <v>101</v>
      </c>
    </row>
    <row r="450" spans="5:6" x14ac:dyDescent="0.3">
      <c r="E450" s="39" t="s">
        <v>278</v>
      </c>
      <c r="F450" s="46" t="s">
        <v>101</v>
      </c>
    </row>
    <row r="451" spans="5:6" x14ac:dyDescent="0.3">
      <c r="E451" s="38" t="s">
        <v>631</v>
      </c>
      <c r="F451" s="45" t="s">
        <v>101</v>
      </c>
    </row>
    <row r="452" spans="5:6" x14ac:dyDescent="0.3">
      <c r="E452" s="39" t="s">
        <v>632</v>
      </c>
      <c r="F452" s="46" t="s">
        <v>101</v>
      </c>
    </row>
    <row r="453" spans="5:6" x14ac:dyDescent="0.3">
      <c r="E453" s="38" t="s">
        <v>633</v>
      </c>
      <c r="F453" s="45" t="s">
        <v>101</v>
      </c>
    </row>
    <row r="454" spans="5:6" x14ac:dyDescent="0.3">
      <c r="E454" s="39" t="s">
        <v>634</v>
      </c>
      <c r="F454" s="46" t="s">
        <v>101</v>
      </c>
    </row>
    <row r="455" spans="5:6" x14ac:dyDescent="0.3">
      <c r="E455" s="38" t="s">
        <v>635</v>
      </c>
      <c r="F455" s="45" t="s">
        <v>101</v>
      </c>
    </row>
    <row r="456" spans="5:6" x14ac:dyDescent="0.3">
      <c r="E456" s="39" t="s">
        <v>636</v>
      </c>
      <c r="F456" s="46" t="s">
        <v>101</v>
      </c>
    </row>
    <row r="457" spans="5:6" x14ac:dyDescent="0.3">
      <c r="E457" s="38" t="s">
        <v>637</v>
      </c>
      <c r="F457" s="45" t="s">
        <v>101</v>
      </c>
    </row>
    <row r="458" spans="5:6" x14ac:dyDescent="0.3">
      <c r="E458" s="39" t="s">
        <v>638</v>
      </c>
      <c r="F458" s="46" t="s">
        <v>101</v>
      </c>
    </row>
    <row r="459" spans="5:6" x14ac:dyDescent="0.3">
      <c r="E459" s="38" t="s">
        <v>280</v>
      </c>
      <c r="F459" s="45" t="s">
        <v>101</v>
      </c>
    </row>
    <row r="460" spans="5:6" x14ac:dyDescent="0.3">
      <c r="E460" s="39" t="s">
        <v>281</v>
      </c>
      <c r="F460" s="46" t="s">
        <v>101</v>
      </c>
    </row>
    <row r="461" spans="5:6" x14ac:dyDescent="0.3">
      <c r="E461" s="38" t="s">
        <v>639</v>
      </c>
      <c r="F461" s="45" t="s">
        <v>101</v>
      </c>
    </row>
    <row r="462" spans="5:6" x14ac:dyDescent="0.3">
      <c r="E462" s="39" t="s">
        <v>282</v>
      </c>
      <c r="F462" s="46" t="s">
        <v>101</v>
      </c>
    </row>
    <row r="463" spans="5:6" x14ac:dyDescent="0.3">
      <c r="E463" s="38" t="s">
        <v>640</v>
      </c>
      <c r="F463" s="45" t="s">
        <v>101</v>
      </c>
    </row>
    <row r="464" spans="5:6" x14ac:dyDescent="0.3">
      <c r="E464" s="39" t="s">
        <v>641</v>
      </c>
      <c r="F464" s="46" t="s">
        <v>101</v>
      </c>
    </row>
    <row r="465" spans="5:6" x14ac:dyDescent="0.3">
      <c r="E465" s="38" t="s">
        <v>283</v>
      </c>
      <c r="F465" s="45" t="s">
        <v>101</v>
      </c>
    </row>
    <row r="466" spans="5:6" x14ac:dyDescent="0.3">
      <c r="E466" s="39" t="s">
        <v>642</v>
      </c>
      <c r="F466" s="46" t="s">
        <v>101</v>
      </c>
    </row>
    <row r="467" spans="5:6" x14ac:dyDescent="0.3">
      <c r="E467" s="38" t="s">
        <v>381</v>
      </c>
      <c r="F467" s="45" t="s">
        <v>101</v>
      </c>
    </row>
    <row r="468" spans="5:6" x14ac:dyDescent="0.3">
      <c r="E468" s="39" t="s">
        <v>643</v>
      </c>
      <c r="F468" s="46" t="s">
        <v>101</v>
      </c>
    </row>
    <row r="469" spans="5:6" x14ac:dyDescent="0.3">
      <c r="E469" s="38" t="s">
        <v>284</v>
      </c>
      <c r="F469" s="45" t="s">
        <v>101</v>
      </c>
    </row>
    <row r="470" spans="5:6" x14ac:dyDescent="0.3">
      <c r="E470" s="39" t="s">
        <v>644</v>
      </c>
      <c r="F470" s="46" t="s">
        <v>101</v>
      </c>
    </row>
    <row r="471" spans="5:6" x14ac:dyDescent="0.3">
      <c r="E471" s="38" t="s">
        <v>645</v>
      </c>
      <c r="F471" s="45" t="s">
        <v>101</v>
      </c>
    </row>
    <row r="472" spans="5:6" x14ac:dyDescent="0.3">
      <c r="E472" s="39" t="s">
        <v>287</v>
      </c>
      <c r="F472" s="46" t="s">
        <v>101</v>
      </c>
    </row>
    <row r="473" spans="5:6" x14ac:dyDescent="0.3">
      <c r="E473" s="38" t="s">
        <v>562</v>
      </c>
      <c r="F473" s="45" t="s">
        <v>101</v>
      </c>
    </row>
    <row r="474" spans="5:6" x14ac:dyDescent="0.3">
      <c r="E474" s="39" t="s">
        <v>383</v>
      </c>
      <c r="F474" s="46" t="s">
        <v>101</v>
      </c>
    </row>
    <row r="475" spans="5:6" x14ac:dyDescent="0.3">
      <c r="E475" s="38" t="s">
        <v>646</v>
      </c>
      <c r="F475" s="45" t="s">
        <v>101</v>
      </c>
    </row>
    <row r="476" spans="5:6" x14ac:dyDescent="0.3">
      <c r="E476" s="39" t="s">
        <v>289</v>
      </c>
      <c r="F476" s="46" t="s">
        <v>101</v>
      </c>
    </row>
    <row r="477" spans="5:6" x14ac:dyDescent="0.3">
      <c r="E477" s="38" t="s">
        <v>647</v>
      </c>
      <c r="F477" s="45" t="s">
        <v>101</v>
      </c>
    </row>
    <row r="478" spans="5:6" x14ac:dyDescent="0.3">
      <c r="E478" s="39" t="s">
        <v>648</v>
      </c>
      <c r="F478" s="46" t="s">
        <v>101</v>
      </c>
    </row>
    <row r="479" spans="5:6" x14ac:dyDescent="0.3">
      <c r="E479" s="38" t="s">
        <v>649</v>
      </c>
      <c r="F479" s="45" t="s">
        <v>101</v>
      </c>
    </row>
    <row r="480" spans="5:6" x14ac:dyDescent="0.3">
      <c r="E480" s="39" t="s">
        <v>290</v>
      </c>
      <c r="F480" s="46" t="s">
        <v>101</v>
      </c>
    </row>
    <row r="481" spans="5:6" x14ac:dyDescent="0.3">
      <c r="E481" s="38" t="s">
        <v>291</v>
      </c>
      <c r="F481" s="45" t="s">
        <v>101</v>
      </c>
    </row>
    <row r="482" spans="5:6" x14ac:dyDescent="0.3">
      <c r="E482" s="39" t="s">
        <v>293</v>
      </c>
      <c r="F482" s="46" t="s">
        <v>101</v>
      </c>
    </row>
    <row r="483" spans="5:6" x14ac:dyDescent="0.3">
      <c r="E483" s="38" t="s">
        <v>650</v>
      </c>
      <c r="F483" s="45" t="s">
        <v>101</v>
      </c>
    </row>
    <row r="484" spans="5:6" x14ac:dyDescent="0.3">
      <c r="E484" s="39" t="s">
        <v>387</v>
      </c>
      <c r="F484" s="46" t="s">
        <v>101</v>
      </c>
    </row>
    <row r="485" spans="5:6" x14ac:dyDescent="0.3">
      <c r="E485" s="38" t="s">
        <v>651</v>
      </c>
      <c r="F485" s="45" t="s">
        <v>101</v>
      </c>
    </row>
    <row r="486" spans="5:6" x14ac:dyDescent="0.3">
      <c r="E486" s="39" t="s">
        <v>296</v>
      </c>
      <c r="F486" s="46" t="s">
        <v>101</v>
      </c>
    </row>
    <row r="487" spans="5:6" x14ac:dyDescent="0.3">
      <c r="E487" s="38" t="s">
        <v>297</v>
      </c>
      <c r="F487" s="45" t="s">
        <v>101</v>
      </c>
    </row>
    <row r="488" spans="5:6" x14ac:dyDescent="0.3">
      <c r="E488" s="39" t="s">
        <v>298</v>
      </c>
      <c r="F488" s="46" t="s">
        <v>101</v>
      </c>
    </row>
    <row r="489" spans="5:6" x14ac:dyDescent="0.3">
      <c r="E489" s="38" t="s">
        <v>652</v>
      </c>
      <c r="F489" s="45" t="s">
        <v>101</v>
      </c>
    </row>
    <row r="490" spans="5:6" x14ac:dyDescent="0.3">
      <c r="E490" s="39" t="s">
        <v>653</v>
      </c>
      <c r="F490" s="46" t="s">
        <v>101</v>
      </c>
    </row>
    <row r="491" spans="5:6" x14ac:dyDescent="0.3">
      <c r="E491" s="38" t="s">
        <v>390</v>
      </c>
      <c r="F491" s="45" t="s">
        <v>101</v>
      </c>
    </row>
    <row r="492" spans="5:6" x14ac:dyDescent="0.3">
      <c r="E492" s="39" t="s">
        <v>654</v>
      </c>
      <c r="F492" s="46" t="s">
        <v>101</v>
      </c>
    </row>
    <row r="493" spans="5:6" x14ac:dyDescent="0.3">
      <c r="E493" s="38" t="s">
        <v>655</v>
      </c>
      <c r="F493" s="45" t="s">
        <v>101</v>
      </c>
    </row>
    <row r="494" spans="5:6" x14ac:dyDescent="0.3">
      <c r="E494" s="39" t="s">
        <v>656</v>
      </c>
      <c r="F494" s="46" t="s">
        <v>101</v>
      </c>
    </row>
    <row r="495" spans="5:6" x14ac:dyDescent="0.3">
      <c r="E495" s="38" t="s">
        <v>657</v>
      </c>
      <c r="F495" s="45" t="s">
        <v>101</v>
      </c>
    </row>
    <row r="496" spans="5:6" x14ac:dyDescent="0.3">
      <c r="E496" s="39" t="s">
        <v>300</v>
      </c>
      <c r="F496" s="46" t="s">
        <v>101</v>
      </c>
    </row>
    <row r="497" spans="5:6" x14ac:dyDescent="0.3">
      <c r="E497" s="38" t="s">
        <v>658</v>
      </c>
      <c r="F497" s="45" t="s">
        <v>101</v>
      </c>
    </row>
    <row r="498" spans="5:6" x14ac:dyDescent="0.3">
      <c r="E498" s="39" t="s">
        <v>301</v>
      </c>
      <c r="F498" s="46" t="s">
        <v>101</v>
      </c>
    </row>
    <row r="499" spans="5:6" x14ac:dyDescent="0.3">
      <c r="E499" s="38" t="s">
        <v>394</v>
      </c>
      <c r="F499" s="45" t="s">
        <v>101</v>
      </c>
    </row>
    <row r="500" spans="5:6" x14ac:dyDescent="0.3">
      <c r="E500" s="39" t="s">
        <v>397</v>
      </c>
      <c r="F500" s="46" t="s">
        <v>101</v>
      </c>
    </row>
    <row r="501" spans="5:6" x14ac:dyDescent="0.3">
      <c r="E501" s="38" t="s">
        <v>572</v>
      </c>
      <c r="F501" s="45" t="s">
        <v>101</v>
      </c>
    </row>
    <row r="502" spans="5:6" x14ac:dyDescent="0.3">
      <c r="E502" s="39" t="s">
        <v>659</v>
      </c>
      <c r="F502" s="46" t="s">
        <v>101</v>
      </c>
    </row>
    <row r="503" spans="5:6" x14ac:dyDescent="0.3">
      <c r="E503" s="38" t="s">
        <v>660</v>
      </c>
      <c r="F503" s="45" t="s">
        <v>101</v>
      </c>
    </row>
    <row r="504" spans="5:6" x14ac:dyDescent="0.3">
      <c r="E504" s="39" t="s">
        <v>302</v>
      </c>
      <c r="F504" s="46" t="s">
        <v>101</v>
      </c>
    </row>
    <row r="505" spans="5:6" x14ac:dyDescent="0.3">
      <c r="E505" s="38" t="s">
        <v>661</v>
      </c>
      <c r="F505" s="45" t="s">
        <v>101</v>
      </c>
    </row>
    <row r="506" spans="5:6" x14ac:dyDescent="0.3">
      <c r="E506" s="39" t="s">
        <v>662</v>
      </c>
      <c r="F506" s="46" t="s">
        <v>101</v>
      </c>
    </row>
    <row r="507" spans="5:6" x14ac:dyDescent="0.3">
      <c r="E507" s="38" t="s">
        <v>663</v>
      </c>
      <c r="F507" s="45" t="s">
        <v>101</v>
      </c>
    </row>
    <row r="508" spans="5:6" x14ac:dyDescent="0.3">
      <c r="E508" s="39" t="s">
        <v>664</v>
      </c>
      <c r="F508" s="46" t="s">
        <v>101</v>
      </c>
    </row>
    <row r="509" spans="5:6" x14ac:dyDescent="0.3">
      <c r="E509" s="38" t="s">
        <v>577</v>
      </c>
      <c r="F509" s="45" t="s">
        <v>101</v>
      </c>
    </row>
    <row r="510" spans="5:6" x14ac:dyDescent="0.3">
      <c r="E510" s="39" t="s">
        <v>665</v>
      </c>
      <c r="F510" s="46" t="s">
        <v>101</v>
      </c>
    </row>
    <row r="511" spans="5:6" x14ac:dyDescent="0.3">
      <c r="E511" s="38" t="s">
        <v>666</v>
      </c>
      <c r="F511" s="45" t="s">
        <v>101</v>
      </c>
    </row>
    <row r="512" spans="5:6" x14ac:dyDescent="0.3">
      <c r="E512" s="39" t="s">
        <v>667</v>
      </c>
      <c r="F512" s="46" t="s">
        <v>101</v>
      </c>
    </row>
    <row r="513" spans="5:6" x14ac:dyDescent="0.3">
      <c r="E513" s="38" t="s">
        <v>306</v>
      </c>
      <c r="F513" s="45" t="s">
        <v>101</v>
      </c>
    </row>
    <row r="514" spans="5:6" x14ac:dyDescent="0.3">
      <c r="E514" s="39" t="s">
        <v>668</v>
      </c>
      <c r="F514" s="46" t="s">
        <v>101</v>
      </c>
    </row>
    <row r="515" spans="5:6" x14ac:dyDescent="0.3">
      <c r="E515" s="38" t="s">
        <v>669</v>
      </c>
      <c r="F515" s="45" t="s">
        <v>101</v>
      </c>
    </row>
    <row r="516" spans="5:6" x14ac:dyDescent="0.3">
      <c r="E516" s="39" t="s">
        <v>670</v>
      </c>
      <c r="F516" s="46" t="s">
        <v>101</v>
      </c>
    </row>
    <row r="517" spans="5:6" x14ac:dyDescent="0.3">
      <c r="E517" s="38" t="s">
        <v>579</v>
      </c>
      <c r="F517" s="45" t="s">
        <v>101</v>
      </c>
    </row>
    <row r="518" spans="5:6" x14ac:dyDescent="0.3">
      <c r="E518" s="39" t="s">
        <v>671</v>
      </c>
      <c r="F518" s="46" t="s">
        <v>101</v>
      </c>
    </row>
    <row r="519" spans="5:6" x14ac:dyDescent="0.3">
      <c r="E519" s="38" t="s">
        <v>672</v>
      </c>
      <c r="F519" s="45" t="s">
        <v>101</v>
      </c>
    </row>
    <row r="520" spans="5:6" x14ac:dyDescent="0.3">
      <c r="E520" s="39" t="s">
        <v>673</v>
      </c>
      <c r="F520" s="46" t="s">
        <v>101</v>
      </c>
    </row>
    <row r="521" spans="5:6" x14ac:dyDescent="0.3">
      <c r="E521" s="38" t="s">
        <v>674</v>
      </c>
      <c r="F521" s="45" t="s">
        <v>101</v>
      </c>
    </row>
    <row r="522" spans="5:6" x14ac:dyDescent="0.3">
      <c r="E522" s="39" t="s">
        <v>675</v>
      </c>
      <c r="F522" s="46" t="s">
        <v>101</v>
      </c>
    </row>
    <row r="523" spans="5:6" x14ac:dyDescent="0.3">
      <c r="E523" s="38" t="s">
        <v>676</v>
      </c>
      <c r="F523" s="45" t="s">
        <v>101</v>
      </c>
    </row>
    <row r="524" spans="5:6" x14ac:dyDescent="0.3">
      <c r="E524" s="39" t="s">
        <v>677</v>
      </c>
      <c r="F524" s="46" t="s">
        <v>101</v>
      </c>
    </row>
    <row r="525" spans="5:6" x14ac:dyDescent="0.3">
      <c r="E525" s="38" t="s">
        <v>678</v>
      </c>
      <c r="F525" s="45" t="s">
        <v>101</v>
      </c>
    </row>
    <row r="526" spans="5:6" x14ac:dyDescent="0.3">
      <c r="E526" s="39" t="s">
        <v>679</v>
      </c>
      <c r="F526" s="46" t="s">
        <v>101</v>
      </c>
    </row>
    <row r="527" spans="5:6" x14ac:dyDescent="0.3">
      <c r="E527" s="38" t="s">
        <v>680</v>
      </c>
      <c r="F527" s="45" t="s">
        <v>101</v>
      </c>
    </row>
    <row r="528" spans="5:6" x14ac:dyDescent="0.3">
      <c r="E528" s="39" t="s">
        <v>406</v>
      </c>
      <c r="F528" s="46" t="s">
        <v>101</v>
      </c>
    </row>
    <row r="529" spans="5:6" x14ac:dyDescent="0.3">
      <c r="E529" s="38" t="s">
        <v>681</v>
      </c>
      <c r="F529" s="45" t="s">
        <v>101</v>
      </c>
    </row>
    <row r="530" spans="5:6" x14ac:dyDescent="0.3">
      <c r="E530" s="39" t="s">
        <v>310</v>
      </c>
      <c r="F530" s="46" t="s">
        <v>101</v>
      </c>
    </row>
    <row r="531" spans="5:6" x14ac:dyDescent="0.3">
      <c r="E531" s="38" t="s">
        <v>582</v>
      </c>
      <c r="F531" s="45" t="s">
        <v>101</v>
      </c>
    </row>
    <row r="532" spans="5:6" x14ac:dyDescent="0.3">
      <c r="E532" s="39" t="s">
        <v>682</v>
      </c>
      <c r="F532" s="46" t="s">
        <v>101</v>
      </c>
    </row>
    <row r="533" spans="5:6" x14ac:dyDescent="0.3">
      <c r="E533" s="38" t="s">
        <v>683</v>
      </c>
      <c r="F533" s="45" t="s">
        <v>101</v>
      </c>
    </row>
    <row r="534" spans="5:6" x14ac:dyDescent="0.3">
      <c r="E534" s="39" t="s">
        <v>311</v>
      </c>
      <c r="F534" s="46" t="s">
        <v>101</v>
      </c>
    </row>
    <row r="535" spans="5:6" x14ac:dyDescent="0.3">
      <c r="E535" s="38" t="s">
        <v>684</v>
      </c>
      <c r="F535" s="45" t="s">
        <v>101</v>
      </c>
    </row>
    <row r="536" spans="5:6" x14ac:dyDescent="0.3">
      <c r="E536" s="39" t="s">
        <v>685</v>
      </c>
      <c r="F536" s="46" t="s">
        <v>101</v>
      </c>
    </row>
    <row r="537" spans="5:6" x14ac:dyDescent="0.3">
      <c r="E537" s="38" t="s">
        <v>686</v>
      </c>
      <c r="F537" s="45" t="s">
        <v>101</v>
      </c>
    </row>
    <row r="538" spans="5:6" x14ac:dyDescent="0.3">
      <c r="E538" s="39" t="s">
        <v>408</v>
      </c>
      <c r="F538" s="46" t="s">
        <v>101</v>
      </c>
    </row>
    <row r="539" spans="5:6" x14ac:dyDescent="0.3">
      <c r="E539" s="38" t="s">
        <v>687</v>
      </c>
      <c r="F539" s="45" t="s">
        <v>101</v>
      </c>
    </row>
    <row r="540" spans="5:6" x14ac:dyDescent="0.3">
      <c r="E540" s="39" t="s">
        <v>312</v>
      </c>
      <c r="F540" s="46" t="s">
        <v>101</v>
      </c>
    </row>
    <row r="541" spans="5:6" x14ac:dyDescent="0.3">
      <c r="E541" s="38" t="s">
        <v>688</v>
      </c>
      <c r="F541" s="45" t="s">
        <v>101</v>
      </c>
    </row>
    <row r="542" spans="5:6" x14ac:dyDescent="0.3">
      <c r="E542" s="39" t="s">
        <v>689</v>
      </c>
      <c r="F542" s="46" t="s">
        <v>101</v>
      </c>
    </row>
    <row r="543" spans="5:6" x14ac:dyDescent="0.3">
      <c r="E543" s="38" t="s">
        <v>690</v>
      </c>
      <c r="F543" s="45" t="s">
        <v>101</v>
      </c>
    </row>
    <row r="544" spans="5:6" x14ac:dyDescent="0.3">
      <c r="E544" s="38" t="s">
        <v>2315</v>
      </c>
      <c r="F544" s="45" t="s">
        <v>2314</v>
      </c>
    </row>
    <row r="545" spans="5:6" x14ac:dyDescent="0.3">
      <c r="E545" s="39" t="s">
        <v>691</v>
      </c>
      <c r="F545" s="46" t="s">
        <v>100</v>
      </c>
    </row>
    <row r="546" spans="5:6" x14ac:dyDescent="0.3">
      <c r="E546" s="38" t="s">
        <v>692</v>
      </c>
      <c r="F546" s="45" t="s">
        <v>100</v>
      </c>
    </row>
    <row r="547" spans="5:6" x14ac:dyDescent="0.3">
      <c r="E547" s="39" t="s">
        <v>693</v>
      </c>
      <c r="F547" s="46" t="s">
        <v>100</v>
      </c>
    </row>
    <row r="548" spans="5:6" x14ac:dyDescent="0.3">
      <c r="E548" s="38" t="s">
        <v>694</v>
      </c>
      <c r="F548" s="45" t="s">
        <v>100</v>
      </c>
    </row>
    <row r="549" spans="5:6" x14ac:dyDescent="0.3">
      <c r="E549" s="39" t="s">
        <v>695</v>
      </c>
      <c r="F549" s="46" t="s">
        <v>100</v>
      </c>
    </row>
    <row r="550" spans="5:6" x14ac:dyDescent="0.3">
      <c r="E550" s="38" t="s">
        <v>696</v>
      </c>
      <c r="F550" s="45" t="s">
        <v>99</v>
      </c>
    </row>
    <row r="551" spans="5:6" x14ac:dyDescent="0.3">
      <c r="E551" s="39" t="s">
        <v>467</v>
      </c>
      <c r="F551" s="46" t="s">
        <v>99</v>
      </c>
    </row>
    <row r="552" spans="5:6" x14ac:dyDescent="0.3">
      <c r="E552" s="38" t="s">
        <v>697</v>
      </c>
      <c r="F552" s="45" t="s">
        <v>99</v>
      </c>
    </row>
    <row r="553" spans="5:6" x14ac:dyDescent="0.3">
      <c r="E553" s="39" t="s">
        <v>698</v>
      </c>
      <c r="F553" s="46" t="s">
        <v>99</v>
      </c>
    </row>
    <row r="554" spans="5:6" x14ac:dyDescent="0.3">
      <c r="E554" s="38" t="s">
        <v>699</v>
      </c>
      <c r="F554" s="45" t="s">
        <v>99</v>
      </c>
    </row>
    <row r="555" spans="5:6" x14ac:dyDescent="0.3">
      <c r="E555" s="39" t="s">
        <v>700</v>
      </c>
      <c r="F555" s="46" t="s">
        <v>99</v>
      </c>
    </row>
    <row r="556" spans="5:6" x14ac:dyDescent="0.3">
      <c r="E556" s="38" t="s">
        <v>701</v>
      </c>
      <c r="F556" s="45" t="s">
        <v>99</v>
      </c>
    </row>
    <row r="557" spans="5:6" x14ac:dyDescent="0.3">
      <c r="E557" s="39" t="s">
        <v>702</v>
      </c>
      <c r="F557" s="46" t="s">
        <v>99</v>
      </c>
    </row>
    <row r="558" spans="5:6" x14ac:dyDescent="0.3">
      <c r="E558" s="38" t="s">
        <v>703</v>
      </c>
      <c r="F558" s="45" t="s">
        <v>99</v>
      </c>
    </row>
    <row r="559" spans="5:6" x14ac:dyDescent="0.3">
      <c r="E559" s="39" t="s">
        <v>704</v>
      </c>
      <c r="F559" s="46" t="s">
        <v>99</v>
      </c>
    </row>
    <row r="560" spans="5:6" x14ac:dyDescent="0.3">
      <c r="E560" s="38" t="s">
        <v>705</v>
      </c>
      <c r="F560" s="45" t="s">
        <v>99</v>
      </c>
    </row>
    <row r="561" spans="5:6" x14ac:dyDescent="0.3">
      <c r="E561" s="39" t="s">
        <v>414</v>
      </c>
      <c r="F561" s="46" t="s">
        <v>99</v>
      </c>
    </row>
    <row r="562" spans="5:6" x14ac:dyDescent="0.3">
      <c r="E562" s="38" t="s">
        <v>706</v>
      </c>
      <c r="F562" s="45" t="s">
        <v>99</v>
      </c>
    </row>
    <row r="563" spans="5:6" x14ac:dyDescent="0.3">
      <c r="E563" s="39" t="s">
        <v>707</v>
      </c>
      <c r="F563" s="46" t="s">
        <v>99</v>
      </c>
    </row>
    <row r="564" spans="5:6" x14ac:dyDescent="0.3">
      <c r="E564" s="38" t="s">
        <v>708</v>
      </c>
      <c r="F564" s="45" t="s">
        <v>99</v>
      </c>
    </row>
    <row r="565" spans="5:6" x14ac:dyDescent="0.3">
      <c r="E565" s="39" t="s">
        <v>709</v>
      </c>
      <c r="F565" s="46" t="s">
        <v>99</v>
      </c>
    </row>
    <row r="566" spans="5:6" x14ac:dyDescent="0.3">
      <c r="E566" s="38" t="s">
        <v>362</v>
      </c>
      <c r="F566" s="45" t="s">
        <v>99</v>
      </c>
    </row>
    <row r="567" spans="5:6" x14ac:dyDescent="0.3">
      <c r="E567" s="39" t="s">
        <v>710</v>
      </c>
      <c r="F567" s="46" t="s">
        <v>99</v>
      </c>
    </row>
    <row r="568" spans="5:6" x14ac:dyDescent="0.3">
      <c r="E568" s="38" t="s">
        <v>480</v>
      </c>
      <c r="F568" s="45" t="s">
        <v>99</v>
      </c>
    </row>
    <row r="569" spans="5:6" x14ac:dyDescent="0.3">
      <c r="E569" s="39" t="s">
        <v>272</v>
      </c>
      <c r="F569" s="46" t="s">
        <v>99</v>
      </c>
    </row>
    <row r="570" spans="5:6" x14ac:dyDescent="0.3">
      <c r="E570" s="38" t="s">
        <v>276</v>
      </c>
      <c r="F570" s="45" t="s">
        <v>99</v>
      </c>
    </row>
    <row r="571" spans="5:6" x14ac:dyDescent="0.3">
      <c r="E571" s="39" t="s">
        <v>488</v>
      </c>
      <c r="F571" s="46" t="s">
        <v>99</v>
      </c>
    </row>
    <row r="572" spans="5:6" x14ac:dyDescent="0.3">
      <c r="E572" s="38" t="s">
        <v>711</v>
      </c>
      <c r="F572" s="45" t="s">
        <v>99</v>
      </c>
    </row>
    <row r="573" spans="5:6" x14ac:dyDescent="0.3">
      <c r="E573" s="39" t="s">
        <v>712</v>
      </c>
      <c r="F573" s="46" t="s">
        <v>99</v>
      </c>
    </row>
    <row r="574" spans="5:6" x14ac:dyDescent="0.3">
      <c r="E574" s="38" t="s">
        <v>713</v>
      </c>
      <c r="F574" s="45" t="s">
        <v>99</v>
      </c>
    </row>
    <row r="575" spans="5:6" x14ac:dyDescent="0.3">
      <c r="E575" s="39" t="s">
        <v>283</v>
      </c>
      <c r="F575" s="46" t="s">
        <v>99</v>
      </c>
    </row>
    <row r="576" spans="5:6" x14ac:dyDescent="0.3">
      <c r="E576" s="38" t="s">
        <v>714</v>
      </c>
      <c r="F576" s="45" t="s">
        <v>99</v>
      </c>
    </row>
    <row r="577" spans="5:6" x14ac:dyDescent="0.3">
      <c r="E577" s="39" t="s">
        <v>715</v>
      </c>
      <c r="F577" s="46" t="s">
        <v>99</v>
      </c>
    </row>
    <row r="578" spans="5:6" x14ac:dyDescent="0.3">
      <c r="E578" s="38" t="s">
        <v>716</v>
      </c>
      <c r="F578" s="45" t="s">
        <v>99</v>
      </c>
    </row>
    <row r="579" spans="5:6" x14ac:dyDescent="0.3">
      <c r="E579" s="39" t="s">
        <v>717</v>
      </c>
      <c r="F579" s="46" t="s">
        <v>99</v>
      </c>
    </row>
    <row r="580" spans="5:6" x14ac:dyDescent="0.3">
      <c r="E580" s="38" t="s">
        <v>718</v>
      </c>
      <c r="F580" s="45" t="s">
        <v>99</v>
      </c>
    </row>
    <row r="581" spans="5:6" x14ac:dyDescent="0.3">
      <c r="E581" s="39" t="s">
        <v>383</v>
      </c>
      <c r="F581" s="46" t="s">
        <v>99</v>
      </c>
    </row>
    <row r="582" spans="5:6" x14ac:dyDescent="0.3">
      <c r="E582" s="38" t="s">
        <v>291</v>
      </c>
      <c r="F582" s="45" t="s">
        <v>99</v>
      </c>
    </row>
    <row r="583" spans="5:6" x14ac:dyDescent="0.3">
      <c r="E583" s="39" t="s">
        <v>719</v>
      </c>
      <c r="F583" s="46" t="s">
        <v>99</v>
      </c>
    </row>
    <row r="584" spans="5:6" x14ac:dyDescent="0.3">
      <c r="E584" s="38" t="s">
        <v>720</v>
      </c>
      <c r="F584" s="45" t="s">
        <v>99</v>
      </c>
    </row>
    <row r="585" spans="5:6" x14ac:dyDescent="0.3">
      <c r="E585" s="39" t="s">
        <v>721</v>
      </c>
      <c r="F585" s="46" t="s">
        <v>99</v>
      </c>
    </row>
    <row r="586" spans="5:6" x14ac:dyDescent="0.3">
      <c r="E586" s="38" t="s">
        <v>722</v>
      </c>
      <c r="F586" s="45" t="s">
        <v>99</v>
      </c>
    </row>
    <row r="587" spans="5:6" x14ac:dyDescent="0.3">
      <c r="E587" s="39" t="s">
        <v>723</v>
      </c>
      <c r="F587" s="46" t="s">
        <v>99</v>
      </c>
    </row>
    <row r="588" spans="5:6" x14ac:dyDescent="0.3">
      <c r="E588" s="38" t="s">
        <v>724</v>
      </c>
      <c r="F588" s="45" t="s">
        <v>99</v>
      </c>
    </row>
    <row r="589" spans="5:6" x14ac:dyDescent="0.3">
      <c r="E589" s="39" t="s">
        <v>725</v>
      </c>
      <c r="F589" s="46" t="s">
        <v>99</v>
      </c>
    </row>
    <row r="590" spans="5:6" x14ac:dyDescent="0.3">
      <c r="E590" s="38" t="s">
        <v>726</v>
      </c>
      <c r="F590" s="45" t="s">
        <v>99</v>
      </c>
    </row>
    <row r="591" spans="5:6" x14ac:dyDescent="0.3">
      <c r="E591" s="39" t="s">
        <v>727</v>
      </c>
      <c r="F591" s="46" t="s">
        <v>99</v>
      </c>
    </row>
    <row r="592" spans="5:6" x14ac:dyDescent="0.3">
      <c r="E592" s="38" t="s">
        <v>728</v>
      </c>
      <c r="F592" s="45" t="s">
        <v>99</v>
      </c>
    </row>
    <row r="593" spans="5:6" x14ac:dyDescent="0.3">
      <c r="E593" s="39" t="s">
        <v>311</v>
      </c>
      <c r="F593" s="46" t="s">
        <v>99</v>
      </c>
    </row>
    <row r="594" spans="5:6" x14ac:dyDescent="0.3">
      <c r="E594" s="38" t="s">
        <v>467</v>
      </c>
      <c r="F594" s="45" t="s">
        <v>98</v>
      </c>
    </row>
    <row r="595" spans="5:6" x14ac:dyDescent="0.3">
      <c r="E595" s="39" t="s">
        <v>729</v>
      </c>
      <c r="F595" s="46" t="s">
        <v>98</v>
      </c>
    </row>
    <row r="596" spans="5:6" x14ac:dyDescent="0.3">
      <c r="E596" s="38" t="s">
        <v>730</v>
      </c>
      <c r="F596" s="45" t="s">
        <v>98</v>
      </c>
    </row>
    <row r="597" spans="5:6" x14ac:dyDescent="0.3">
      <c r="E597" s="39" t="s">
        <v>358</v>
      </c>
      <c r="F597" s="46" t="s">
        <v>98</v>
      </c>
    </row>
    <row r="598" spans="5:6" x14ac:dyDescent="0.3">
      <c r="E598" s="38" t="s">
        <v>731</v>
      </c>
      <c r="F598" s="45" t="s">
        <v>98</v>
      </c>
    </row>
    <row r="599" spans="5:6" x14ac:dyDescent="0.3">
      <c r="E599" s="39" t="s">
        <v>732</v>
      </c>
      <c r="F599" s="46" t="s">
        <v>98</v>
      </c>
    </row>
    <row r="600" spans="5:6" x14ac:dyDescent="0.3">
      <c r="E600" s="38" t="s">
        <v>254</v>
      </c>
      <c r="F600" s="45" t="s">
        <v>98</v>
      </c>
    </row>
    <row r="601" spans="5:6" x14ac:dyDescent="0.3">
      <c r="E601" s="39" t="s">
        <v>360</v>
      </c>
      <c r="F601" s="46" t="s">
        <v>98</v>
      </c>
    </row>
    <row r="602" spans="5:6" x14ac:dyDescent="0.3">
      <c r="E602" s="38" t="s">
        <v>733</v>
      </c>
      <c r="F602" s="45" t="s">
        <v>98</v>
      </c>
    </row>
    <row r="603" spans="5:6" x14ac:dyDescent="0.3">
      <c r="E603" s="39" t="s">
        <v>734</v>
      </c>
      <c r="F603" s="46" t="s">
        <v>98</v>
      </c>
    </row>
    <row r="604" spans="5:6" x14ac:dyDescent="0.3">
      <c r="E604" s="38" t="s">
        <v>735</v>
      </c>
      <c r="F604" s="45" t="s">
        <v>98</v>
      </c>
    </row>
    <row r="605" spans="5:6" x14ac:dyDescent="0.3">
      <c r="E605" s="39" t="s">
        <v>362</v>
      </c>
      <c r="F605" s="46" t="s">
        <v>98</v>
      </c>
    </row>
    <row r="606" spans="5:6" x14ac:dyDescent="0.3">
      <c r="E606" s="38" t="s">
        <v>260</v>
      </c>
      <c r="F606" s="45" t="s">
        <v>98</v>
      </c>
    </row>
    <row r="607" spans="5:6" x14ac:dyDescent="0.3">
      <c r="E607" s="39" t="s">
        <v>736</v>
      </c>
      <c r="F607" s="46" t="s">
        <v>98</v>
      </c>
    </row>
    <row r="608" spans="5:6" x14ac:dyDescent="0.3">
      <c r="E608" s="38" t="s">
        <v>737</v>
      </c>
      <c r="F608" s="45" t="s">
        <v>98</v>
      </c>
    </row>
    <row r="609" spans="5:6" x14ac:dyDescent="0.3">
      <c r="E609" s="39" t="s">
        <v>609</v>
      </c>
      <c r="F609" s="46" t="s">
        <v>98</v>
      </c>
    </row>
    <row r="610" spans="5:6" x14ac:dyDescent="0.3">
      <c r="E610" s="38" t="s">
        <v>367</v>
      </c>
      <c r="F610" s="45" t="s">
        <v>98</v>
      </c>
    </row>
    <row r="611" spans="5:6" x14ac:dyDescent="0.3">
      <c r="E611" s="39" t="s">
        <v>738</v>
      </c>
      <c r="F611" s="46" t="s">
        <v>98</v>
      </c>
    </row>
    <row r="612" spans="5:6" x14ac:dyDescent="0.3">
      <c r="E612" s="38" t="s">
        <v>271</v>
      </c>
      <c r="F612" s="45" t="s">
        <v>98</v>
      </c>
    </row>
    <row r="613" spans="5:6" x14ac:dyDescent="0.3">
      <c r="E613" s="39" t="s">
        <v>739</v>
      </c>
      <c r="F613" s="46" t="s">
        <v>98</v>
      </c>
    </row>
    <row r="614" spans="5:6" x14ac:dyDescent="0.3">
      <c r="E614" s="38" t="s">
        <v>484</v>
      </c>
      <c r="F614" s="45" t="s">
        <v>98</v>
      </c>
    </row>
    <row r="615" spans="5:6" x14ac:dyDescent="0.3">
      <c r="E615" s="39" t="s">
        <v>740</v>
      </c>
      <c r="F615" s="46" t="s">
        <v>98</v>
      </c>
    </row>
    <row r="616" spans="5:6" x14ac:dyDescent="0.3">
      <c r="E616" s="38" t="s">
        <v>741</v>
      </c>
      <c r="F616" s="45" t="s">
        <v>98</v>
      </c>
    </row>
    <row r="617" spans="5:6" x14ac:dyDescent="0.3">
      <c r="E617" s="39" t="s">
        <v>742</v>
      </c>
      <c r="F617" s="46" t="s">
        <v>98</v>
      </c>
    </row>
    <row r="618" spans="5:6" x14ac:dyDescent="0.3">
      <c r="E618" s="38" t="s">
        <v>620</v>
      </c>
      <c r="F618" s="45" t="s">
        <v>98</v>
      </c>
    </row>
    <row r="619" spans="5:6" x14ac:dyDescent="0.3">
      <c r="E619" s="39" t="s">
        <v>275</v>
      </c>
      <c r="F619" s="46" t="s">
        <v>98</v>
      </c>
    </row>
    <row r="620" spans="5:6" x14ac:dyDescent="0.3">
      <c r="E620" s="38" t="s">
        <v>743</v>
      </c>
      <c r="F620" s="45" t="s">
        <v>98</v>
      </c>
    </row>
    <row r="621" spans="5:6" x14ac:dyDescent="0.3">
      <c r="E621" s="39" t="s">
        <v>276</v>
      </c>
      <c r="F621" s="46" t="s">
        <v>98</v>
      </c>
    </row>
    <row r="622" spans="5:6" x14ac:dyDescent="0.3">
      <c r="E622" s="38" t="s">
        <v>373</v>
      </c>
      <c r="F622" s="45" t="s">
        <v>98</v>
      </c>
    </row>
    <row r="623" spans="5:6" x14ac:dyDescent="0.3">
      <c r="E623" s="39" t="s">
        <v>744</v>
      </c>
      <c r="F623" s="46" t="s">
        <v>98</v>
      </c>
    </row>
    <row r="624" spans="5:6" x14ac:dyDescent="0.3">
      <c r="E624" s="38" t="s">
        <v>278</v>
      </c>
      <c r="F624" s="45" t="s">
        <v>98</v>
      </c>
    </row>
    <row r="625" spans="5:6" x14ac:dyDescent="0.3">
      <c r="E625" s="39" t="s">
        <v>745</v>
      </c>
      <c r="F625" s="46" t="s">
        <v>98</v>
      </c>
    </row>
    <row r="626" spans="5:6" x14ac:dyDescent="0.3">
      <c r="E626" s="38" t="s">
        <v>552</v>
      </c>
      <c r="F626" s="45" t="s">
        <v>98</v>
      </c>
    </row>
    <row r="627" spans="5:6" x14ac:dyDescent="0.3">
      <c r="E627" s="39" t="s">
        <v>634</v>
      </c>
      <c r="F627" s="46" t="s">
        <v>98</v>
      </c>
    </row>
    <row r="628" spans="5:6" x14ac:dyDescent="0.3">
      <c r="E628" s="38" t="s">
        <v>746</v>
      </c>
      <c r="F628" s="45" t="s">
        <v>98</v>
      </c>
    </row>
    <row r="629" spans="5:6" x14ac:dyDescent="0.3">
      <c r="E629" s="39" t="s">
        <v>747</v>
      </c>
      <c r="F629" s="46" t="s">
        <v>98</v>
      </c>
    </row>
    <row r="630" spans="5:6" x14ac:dyDescent="0.3">
      <c r="E630" s="38" t="s">
        <v>280</v>
      </c>
      <c r="F630" s="45" t="s">
        <v>98</v>
      </c>
    </row>
    <row r="631" spans="5:6" x14ac:dyDescent="0.3">
      <c r="E631" s="39" t="s">
        <v>748</v>
      </c>
      <c r="F631" s="46" t="s">
        <v>98</v>
      </c>
    </row>
    <row r="632" spans="5:6" x14ac:dyDescent="0.3">
      <c r="E632" s="38" t="s">
        <v>282</v>
      </c>
      <c r="F632" s="45" t="s">
        <v>98</v>
      </c>
    </row>
    <row r="633" spans="5:6" x14ac:dyDescent="0.3">
      <c r="E633" s="39" t="s">
        <v>640</v>
      </c>
      <c r="F633" s="46" t="s">
        <v>98</v>
      </c>
    </row>
    <row r="634" spans="5:6" x14ac:dyDescent="0.3">
      <c r="E634" s="38" t="s">
        <v>283</v>
      </c>
      <c r="F634" s="45" t="s">
        <v>98</v>
      </c>
    </row>
    <row r="635" spans="5:6" x14ac:dyDescent="0.3">
      <c r="E635" s="39" t="s">
        <v>749</v>
      </c>
      <c r="F635" s="46" t="s">
        <v>98</v>
      </c>
    </row>
    <row r="636" spans="5:6" x14ac:dyDescent="0.3">
      <c r="E636" s="38" t="s">
        <v>750</v>
      </c>
      <c r="F636" s="45" t="s">
        <v>98</v>
      </c>
    </row>
    <row r="637" spans="5:6" x14ac:dyDescent="0.3">
      <c r="E637" s="39" t="s">
        <v>381</v>
      </c>
      <c r="F637" s="46" t="s">
        <v>98</v>
      </c>
    </row>
    <row r="638" spans="5:6" x14ac:dyDescent="0.3">
      <c r="E638" s="38" t="s">
        <v>751</v>
      </c>
      <c r="F638" s="45" t="s">
        <v>98</v>
      </c>
    </row>
    <row r="639" spans="5:6" x14ac:dyDescent="0.3">
      <c r="E639" s="39" t="s">
        <v>752</v>
      </c>
      <c r="F639" s="46" t="s">
        <v>98</v>
      </c>
    </row>
    <row r="640" spans="5:6" x14ac:dyDescent="0.3">
      <c r="E640" s="38" t="s">
        <v>753</v>
      </c>
      <c r="F640" s="45" t="s">
        <v>98</v>
      </c>
    </row>
    <row r="641" spans="5:6" x14ac:dyDescent="0.3">
      <c r="E641" s="39" t="s">
        <v>754</v>
      </c>
      <c r="F641" s="46" t="s">
        <v>98</v>
      </c>
    </row>
    <row r="642" spans="5:6" x14ac:dyDescent="0.3">
      <c r="E642" s="38" t="s">
        <v>427</v>
      </c>
      <c r="F642" s="45" t="s">
        <v>98</v>
      </c>
    </row>
    <row r="643" spans="5:6" x14ac:dyDescent="0.3">
      <c r="E643" s="39" t="s">
        <v>755</v>
      </c>
      <c r="F643" s="46" t="s">
        <v>98</v>
      </c>
    </row>
    <row r="644" spans="5:6" x14ac:dyDescent="0.3">
      <c r="E644" s="38" t="s">
        <v>286</v>
      </c>
      <c r="F644" s="45" t="s">
        <v>98</v>
      </c>
    </row>
    <row r="645" spans="5:6" x14ac:dyDescent="0.3">
      <c r="E645" s="39" t="s">
        <v>287</v>
      </c>
      <c r="F645" s="46" t="s">
        <v>98</v>
      </c>
    </row>
    <row r="646" spans="5:6" x14ac:dyDescent="0.3">
      <c r="E646" s="38" t="s">
        <v>756</v>
      </c>
      <c r="F646" s="45" t="s">
        <v>98</v>
      </c>
    </row>
    <row r="647" spans="5:6" x14ac:dyDescent="0.3">
      <c r="E647" s="39" t="s">
        <v>385</v>
      </c>
      <c r="F647" s="46" t="s">
        <v>98</v>
      </c>
    </row>
    <row r="648" spans="5:6" x14ac:dyDescent="0.3">
      <c r="E648" s="38" t="s">
        <v>757</v>
      </c>
      <c r="F648" s="45" t="s">
        <v>98</v>
      </c>
    </row>
    <row r="649" spans="5:6" x14ac:dyDescent="0.3">
      <c r="E649" s="39" t="s">
        <v>758</v>
      </c>
      <c r="F649" s="46" t="s">
        <v>98</v>
      </c>
    </row>
    <row r="650" spans="5:6" x14ac:dyDescent="0.3">
      <c r="E650" s="38" t="s">
        <v>759</v>
      </c>
      <c r="F650" s="45" t="s">
        <v>98</v>
      </c>
    </row>
    <row r="651" spans="5:6" x14ac:dyDescent="0.3">
      <c r="E651" s="39" t="s">
        <v>290</v>
      </c>
      <c r="F651" s="46" t="s">
        <v>98</v>
      </c>
    </row>
    <row r="652" spans="5:6" x14ac:dyDescent="0.3">
      <c r="E652" s="38" t="s">
        <v>760</v>
      </c>
      <c r="F652" s="45" t="s">
        <v>98</v>
      </c>
    </row>
    <row r="653" spans="5:6" x14ac:dyDescent="0.3">
      <c r="E653" s="39" t="s">
        <v>291</v>
      </c>
      <c r="F653" s="46" t="s">
        <v>98</v>
      </c>
    </row>
    <row r="654" spans="5:6" x14ac:dyDescent="0.3">
      <c r="E654" s="38" t="s">
        <v>293</v>
      </c>
      <c r="F654" s="45" t="s">
        <v>98</v>
      </c>
    </row>
    <row r="655" spans="5:6" x14ac:dyDescent="0.3">
      <c r="E655" s="39" t="s">
        <v>294</v>
      </c>
      <c r="F655" s="46" t="s">
        <v>98</v>
      </c>
    </row>
    <row r="656" spans="5:6" x14ac:dyDescent="0.3">
      <c r="E656" s="38" t="s">
        <v>761</v>
      </c>
      <c r="F656" s="45" t="s">
        <v>98</v>
      </c>
    </row>
    <row r="657" spans="5:6" x14ac:dyDescent="0.3">
      <c r="E657" s="39" t="s">
        <v>762</v>
      </c>
      <c r="F657" s="46" t="s">
        <v>98</v>
      </c>
    </row>
    <row r="658" spans="5:6" x14ac:dyDescent="0.3">
      <c r="E658" s="38" t="s">
        <v>763</v>
      </c>
      <c r="F658" s="45" t="s">
        <v>98</v>
      </c>
    </row>
    <row r="659" spans="5:6" x14ac:dyDescent="0.3">
      <c r="E659" s="39" t="s">
        <v>764</v>
      </c>
      <c r="F659" s="46" t="s">
        <v>98</v>
      </c>
    </row>
    <row r="660" spans="5:6" x14ac:dyDescent="0.3">
      <c r="E660" s="38" t="s">
        <v>296</v>
      </c>
      <c r="F660" s="45" t="s">
        <v>98</v>
      </c>
    </row>
    <row r="661" spans="5:6" x14ac:dyDescent="0.3">
      <c r="E661" s="39" t="s">
        <v>297</v>
      </c>
      <c r="F661" s="46" t="s">
        <v>98</v>
      </c>
    </row>
    <row r="662" spans="5:6" x14ac:dyDescent="0.3">
      <c r="E662" s="38" t="s">
        <v>298</v>
      </c>
      <c r="F662" s="45" t="s">
        <v>98</v>
      </c>
    </row>
    <row r="663" spans="5:6" x14ac:dyDescent="0.3">
      <c r="E663" s="39" t="s">
        <v>765</v>
      </c>
      <c r="F663" s="46" t="s">
        <v>98</v>
      </c>
    </row>
    <row r="664" spans="5:6" x14ac:dyDescent="0.3">
      <c r="E664" s="38" t="s">
        <v>766</v>
      </c>
      <c r="F664" s="45" t="s">
        <v>98</v>
      </c>
    </row>
    <row r="665" spans="5:6" x14ac:dyDescent="0.3">
      <c r="E665" s="39" t="s">
        <v>767</v>
      </c>
      <c r="F665" s="46" t="s">
        <v>98</v>
      </c>
    </row>
    <row r="666" spans="5:6" x14ac:dyDescent="0.3">
      <c r="E666" s="38" t="s">
        <v>299</v>
      </c>
      <c r="F666" s="45" t="s">
        <v>98</v>
      </c>
    </row>
    <row r="667" spans="5:6" x14ac:dyDescent="0.3">
      <c r="E667" s="39" t="s">
        <v>768</v>
      </c>
      <c r="F667" s="46" t="s">
        <v>98</v>
      </c>
    </row>
    <row r="668" spans="5:6" x14ac:dyDescent="0.3">
      <c r="E668" s="38" t="s">
        <v>301</v>
      </c>
      <c r="F668" s="45" t="s">
        <v>98</v>
      </c>
    </row>
    <row r="669" spans="5:6" x14ac:dyDescent="0.3">
      <c r="E669" s="39" t="s">
        <v>395</v>
      </c>
      <c r="F669" s="46" t="s">
        <v>98</v>
      </c>
    </row>
    <row r="670" spans="5:6" x14ac:dyDescent="0.3">
      <c r="E670" s="38" t="s">
        <v>397</v>
      </c>
      <c r="F670" s="45" t="s">
        <v>98</v>
      </c>
    </row>
    <row r="671" spans="5:6" x14ac:dyDescent="0.3">
      <c r="E671" s="39" t="s">
        <v>572</v>
      </c>
      <c r="F671" s="46" t="s">
        <v>98</v>
      </c>
    </row>
    <row r="672" spans="5:6" x14ac:dyDescent="0.3">
      <c r="E672" s="38" t="s">
        <v>302</v>
      </c>
      <c r="F672" s="45" t="s">
        <v>98</v>
      </c>
    </row>
    <row r="673" spans="5:6" x14ac:dyDescent="0.3">
      <c r="E673" s="39" t="s">
        <v>769</v>
      </c>
      <c r="F673" s="46" t="s">
        <v>98</v>
      </c>
    </row>
    <row r="674" spans="5:6" x14ac:dyDescent="0.3">
      <c r="E674" s="38" t="s">
        <v>770</v>
      </c>
      <c r="F674" s="45" t="s">
        <v>98</v>
      </c>
    </row>
    <row r="675" spans="5:6" x14ac:dyDescent="0.3">
      <c r="E675" s="39" t="s">
        <v>304</v>
      </c>
      <c r="F675" s="46" t="s">
        <v>98</v>
      </c>
    </row>
    <row r="676" spans="5:6" x14ac:dyDescent="0.3">
      <c r="E676" s="38" t="s">
        <v>399</v>
      </c>
      <c r="F676" s="45" t="s">
        <v>98</v>
      </c>
    </row>
    <row r="677" spans="5:6" x14ac:dyDescent="0.3">
      <c r="E677" s="39" t="s">
        <v>771</v>
      </c>
      <c r="F677" s="46" t="s">
        <v>98</v>
      </c>
    </row>
    <row r="678" spans="5:6" x14ac:dyDescent="0.3">
      <c r="E678" s="38" t="s">
        <v>772</v>
      </c>
      <c r="F678" s="45" t="s">
        <v>98</v>
      </c>
    </row>
    <row r="679" spans="5:6" x14ac:dyDescent="0.3">
      <c r="E679" s="39" t="s">
        <v>400</v>
      </c>
      <c r="F679" s="46" t="s">
        <v>98</v>
      </c>
    </row>
    <row r="680" spans="5:6" x14ac:dyDescent="0.3">
      <c r="E680" s="38" t="s">
        <v>305</v>
      </c>
      <c r="F680" s="45" t="s">
        <v>98</v>
      </c>
    </row>
    <row r="681" spans="5:6" x14ac:dyDescent="0.3">
      <c r="E681" s="39" t="s">
        <v>773</v>
      </c>
      <c r="F681" s="46" t="s">
        <v>98</v>
      </c>
    </row>
    <row r="682" spans="5:6" x14ac:dyDescent="0.3">
      <c r="E682" s="38" t="s">
        <v>774</v>
      </c>
      <c r="F682" s="45" t="s">
        <v>98</v>
      </c>
    </row>
    <row r="683" spans="5:6" x14ac:dyDescent="0.3">
      <c r="E683" s="39" t="s">
        <v>775</v>
      </c>
      <c r="F683" s="46" t="s">
        <v>98</v>
      </c>
    </row>
    <row r="684" spans="5:6" x14ac:dyDescent="0.3">
      <c r="E684" s="38" t="s">
        <v>406</v>
      </c>
      <c r="F684" s="45" t="s">
        <v>98</v>
      </c>
    </row>
    <row r="685" spans="5:6" x14ac:dyDescent="0.3">
      <c r="E685" s="39" t="s">
        <v>776</v>
      </c>
      <c r="F685" s="46" t="s">
        <v>98</v>
      </c>
    </row>
    <row r="686" spans="5:6" x14ac:dyDescent="0.3">
      <c r="E686" s="38" t="s">
        <v>777</v>
      </c>
      <c r="F686" s="45" t="s">
        <v>98</v>
      </c>
    </row>
    <row r="687" spans="5:6" x14ac:dyDescent="0.3">
      <c r="E687" s="39" t="s">
        <v>683</v>
      </c>
      <c r="F687" s="46" t="s">
        <v>98</v>
      </c>
    </row>
    <row r="688" spans="5:6" x14ac:dyDescent="0.3">
      <c r="E688" s="38" t="s">
        <v>311</v>
      </c>
      <c r="F688" s="45" t="s">
        <v>98</v>
      </c>
    </row>
    <row r="689" spans="5:6" x14ac:dyDescent="0.3">
      <c r="E689" s="39" t="s">
        <v>684</v>
      </c>
      <c r="F689" s="46" t="s">
        <v>98</v>
      </c>
    </row>
    <row r="690" spans="5:6" x14ac:dyDescent="0.3">
      <c r="E690" s="38" t="s">
        <v>408</v>
      </c>
      <c r="F690" s="45" t="s">
        <v>98</v>
      </c>
    </row>
    <row r="691" spans="5:6" x14ac:dyDescent="0.3">
      <c r="E691" s="39" t="s">
        <v>778</v>
      </c>
      <c r="F691" s="46" t="s">
        <v>98</v>
      </c>
    </row>
    <row r="692" spans="5:6" x14ac:dyDescent="0.3">
      <c r="E692" s="38" t="s">
        <v>779</v>
      </c>
      <c r="F692" s="45" t="s">
        <v>98</v>
      </c>
    </row>
    <row r="693" spans="5:6" x14ac:dyDescent="0.3">
      <c r="E693" s="39" t="s">
        <v>780</v>
      </c>
      <c r="F693" s="46" t="s">
        <v>98</v>
      </c>
    </row>
    <row r="694" spans="5:6" x14ac:dyDescent="0.3">
      <c r="E694" s="38" t="s">
        <v>781</v>
      </c>
      <c r="F694" s="45" t="s">
        <v>98</v>
      </c>
    </row>
    <row r="695" spans="5:6" x14ac:dyDescent="0.3">
      <c r="E695" s="39" t="s">
        <v>782</v>
      </c>
      <c r="F695" s="46" t="s">
        <v>98</v>
      </c>
    </row>
    <row r="696" spans="5:6" x14ac:dyDescent="0.3">
      <c r="E696" s="38" t="s">
        <v>467</v>
      </c>
      <c r="F696" s="45" t="s">
        <v>97</v>
      </c>
    </row>
    <row r="697" spans="5:6" x14ac:dyDescent="0.3">
      <c r="E697" s="39" t="s">
        <v>783</v>
      </c>
      <c r="F697" s="46" t="s">
        <v>97</v>
      </c>
    </row>
    <row r="698" spans="5:6" x14ac:dyDescent="0.3">
      <c r="E698" s="38" t="s">
        <v>784</v>
      </c>
      <c r="F698" s="45" t="s">
        <v>97</v>
      </c>
    </row>
    <row r="699" spans="5:6" x14ac:dyDescent="0.3">
      <c r="E699" s="39" t="s">
        <v>357</v>
      </c>
      <c r="F699" s="46" t="s">
        <v>97</v>
      </c>
    </row>
    <row r="700" spans="5:6" x14ac:dyDescent="0.3">
      <c r="E700" s="38" t="s">
        <v>785</v>
      </c>
      <c r="F700" s="45" t="s">
        <v>97</v>
      </c>
    </row>
    <row r="701" spans="5:6" x14ac:dyDescent="0.3">
      <c r="E701" s="39" t="s">
        <v>358</v>
      </c>
      <c r="F701" s="46" t="s">
        <v>97</v>
      </c>
    </row>
    <row r="702" spans="5:6" x14ac:dyDescent="0.3">
      <c r="E702" s="38" t="s">
        <v>731</v>
      </c>
      <c r="F702" s="45" t="s">
        <v>97</v>
      </c>
    </row>
    <row r="703" spans="5:6" x14ac:dyDescent="0.3">
      <c r="E703" s="39" t="s">
        <v>360</v>
      </c>
      <c r="F703" s="46" t="s">
        <v>97</v>
      </c>
    </row>
    <row r="704" spans="5:6" x14ac:dyDescent="0.3">
      <c r="E704" s="38" t="s">
        <v>733</v>
      </c>
      <c r="F704" s="45" t="s">
        <v>97</v>
      </c>
    </row>
    <row r="705" spans="5:6" x14ac:dyDescent="0.3">
      <c r="E705" s="39" t="s">
        <v>362</v>
      </c>
      <c r="F705" s="46" t="s">
        <v>97</v>
      </c>
    </row>
    <row r="706" spans="5:6" x14ac:dyDescent="0.3">
      <c r="E706" s="38" t="s">
        <v>260</v>
      </c>
      <c r="F706" s="45" t="s">
        <v>97</v>
      </c>
    </row>
    <row r="707" spans="5:6" x14ac:dyDescent="0.3">
      <c r="E707" s="39" t="s">
        <v>736</v>
      </c>
      <c r="F707" s="46" t="s">
        <v>97</v>
      </c>
    </row>
    <row r="708" spans="5:6" x14ac:dyDescent="0.3">
      <c r="E708" s="38" t="s">
        <v>367</v>
      </c>
      <c r="F708" s="45" t="s">
        <v>97</v>
      </c>
    </row>
    <row r="709" spans="5:6" x14ac:dyDescent="0.3">
      <c r="E709" s="39" t="s">
        <v>786</v>
      </c>
      <c r="F709" s="46" t="s">
        <v>97</v>
      </c>
    </row>
    <row r="710" spans="5:6" x14ac:dyDescent="0.3">
      <c r="E710" s="38" t="s">
        <v>787</v>
      </c>
      <c r="F710" s="45" t="s">
        <v>97</v>
      </c>
    </row>
    <row r="711" spans="5:6" x14ac:dyDescent="0.3">
      <c r="E711" s="39" t="s">
        <v>613</v>
      </c>
      <c r="F711" s="46" t="s">
        <v>97</v>
      </c>
    </row>
    <row r="712" spans="5:6" x14ac:dyDescent="0.3">
      <c r="E712" s="38" t="s">
        <v>614</v>
      </c>
      <c r="F712" s="45" t="s">
        <v>97</v>
      </c>
    </row>
    <row r="713" spans="5:6" x14ac:dyDescent="0.3">
      <c r="E713" s="39" t="s">
        <v>788</v>
      </c>
      <c r="F713" s="46" t="s">
        <v>97</v>
      </c>
    </row>
    <row r="714" spans="5:6" x14ac:dyDescent="0.3">
      <c r="E714" s="38" t="s">
        <v>789</v>
      </c>
      <c r="F714" s="45" t="s">
        <v>97</v>
      </c>
    </row>
    <row r="715" spans="5:6" x14ac:dyDescent="0.3">
      <c r="E715" s="39" t="s">
        <v>790</v>
      </c>
      <c r="F715" s="46" t="s">
        <v>97</v>
      </c>
    </row>
    <row r="716" spans="5:6" x14ac:dyDescent="0.3">
      <c r="E716" s="38" t="s">
        <v>275</v>
      </c>
      <c r="F716" s="45" t="s">
        <v>97</v>
      </c>
    </row>
    <row r="717" spans="5:6" x14ac:dyDescent="0.3">
      <c r="E717" s="39" t="s">
        <v>624</v>
      </c>
      <c r="F717" s="46" t="s">
        <v>97</v>
      </c>
    </row>
    <row r="718" spans="5:6" x14ac:dyDescent="0.3">
      <c r="E718" s="38" t="s">
        <v>791</v>
      </c>
      <c r="F718" s="45" t="s">
        <v>97</v>
      </c>
    </row>
    <row r="719" spans="5:6" x14ac:dyDescent="0.3">
      <c r="E719" s="39" t="s">
        <v>276</v>
      </c>
      <c r="F719" s="46" t="s">
        <v>97</v>
      </c>
    </row>
    <row r="720" spans="5:6" x14ac:dyDescent="0.3">
      <c r="E720" s="38" t="s">
        <v>373</v>
      </c>
      <c r="F720" s="45" t="s">
        <v>97</v>
      </c>
    </row>
    <row r="721" spans="5:6" x14ac:dyDescent="0.3">
      <c r="E721" s="39" t="s">
        <v>792</v>
      </c>
      <c r="F721" s="46" t="s">
        <v>97</v>
      </c>
    </row>
    <row r="722" spans="5:6" x14ac:dyDescent="0.3">
      <c r="E722" s="38" t="s">
        <v>375</v>
      </c>
      <c r="F722" s="45" t="s">
        <v>97</v>
      </c>
    </row>
    <row r="723" spans="5:6" x14ac:dyDescent="0.3">
      <c r="E723" s="39" t="s">
        <v>278</v>
      </c>
      <c r="F723" s="46" t="s">
        <v>97</v>
      </c>
    </row>
    <row r="724" spans="5:6" x14ac:dyDescent="0.3">
      <c r="E724" s="38" t="s">
        <v>552</v>
      </c>
      <c r="F724" s="45" t="s">
        <v>97</v>
      </c>
    </row>
    <row r="725" spans="5:6" x14ac:dyDescent="0.3">
      <c r="E725" s="39" t="s">
        <v>634</v>
      </c>
      <c r="F725" s="46" t="s">
        <v>97</v>
      </c>
    </row>
    <row r="726" spans="5:6" x14ac:dyDescent="0.3">
      <c r="E726" s="38" t="s">
        <v>793</v>
      </c>
      <c r="F726" s="45" t="s">
        <v>97</v>
      </c>
    </row>
    <row r="727" spans="5:6" x14ac:dyDescent="0.3">
      <c r="E727" s="39" t="s">
        <v>794</v>
      </c>
      <c r="F727" s="46" t="s">
        <v>97</v>
      </c>
    </row>
    <row r="728" spans="5:6" x14ac:dyDescent="0.3">
      <c r="E728" s="38" t="s">
        <v>280</v>
      </c>
      <c r="F728" s="45" t="s">
        <v>97</v>
      </c>
    </row>
    <row r="729" spans="5:6" x14ac:dyDescent="0.3">
      <c r="E729" s="39" t="s">
        <v>378</v>
      </c>
      <c r="F729" s="46" t="s">
        <v>97</v>
      </c>
    </row>
    <row r="730" spans="5:6" x14ac:dyDescent="0.3">
      <c r="E730" s="38" t="s">
        <v>795</v>
      </c>
      <c r="F730" s="45" t="s">
        <v>97</v>
      </c>
    </row>
    <row r="731" spans="5:6" x14ac:dyDescent="0.3">
      <c r="E731" s="39" t="s">
        <v>282</v>
      </c>
      <c r="F731" s="46" t="s">
        <v>97</v>
      </c>
    </row>
    <row r="732" spans="5:6" x14ac:dyDescent="0.3">
      <c r="E732" s="38" t="s">
        <v>640</v>
      </c>
      <c r="F732" s="45" t="s">
        <v>97</v>
      </c>
    </row>
    <row r="733" spans="5:6" x14ac:dyDescent="0.3">
      <c r="E733" s="39" t="s">
        <v>796</v>
      </c>
      <c r="F733" s="46" t="s">
        <v>97</v>
      </c>
    </row>
    <row r="734" spans="5:6" x14ac:dyDescent="0.3">
      <c r="E734" s="38" t="s">
        <v>283</v>
      </c>
      <c r="F734" s="45" t="s">
        <v>97</v>
      </c>
    </row>
    <row r="735" spans="5:6" x14ac:dyDescent="0.3">
      <c r="E735" s="39" t="s">
        <v>797</v>
      </c>
      <c r="F735" s="46" t="s">
        <v>97</v>
      </c>
    </row>
    <row r="736" spans="5:6" x14ac:dyDescent="0.3">
      <c r="E736" s="38" t="s">
        <v>381</v>
      </c>
      <c r="F736" s="45" t="s">
        <v>97</v>
      </c>
    </row>
    <row r="737" spans="5:6" x14ac:dyDescent="0.3">
      <c r="E737" s="39" t="s">
        <v>754</v>
      </c>
      <c r="F737" s="46" t="s">
        <v>97</v>
      </c>
    </row>
    <row r="738" spans="5:6" x14ac:dyDescent="0.3">
      <c r="E738" s="38" t="s">
        <v>798</v>
      </c>
      <c r="F738" s="45" t="s">
        <v>97</v>
      </c>
    </row>
    <row r="739" spans="5:6" x14ac:dyDescent="0.3">
      <c r="E739" s="39" t="s">
        <v>799</v>
      </c>
      <c r="F739" s="46" t="s">
        <v>97</v>
      </c>
    </row>
    <row r="740" spans="5:6" x14ac:dyDescent="0.3">
      <c r="E740" s="38" t="s">
        <v>427</v>
      </c>
      <c r="F740" s="45" t="s">
        <v>97</v>
      </c>
    </row>
    <row r="741" spans="5:6" x14ac:dyDescent="0.3">
      <c r="E741" s="39" t="s">
        <v>800</v>
      </c>
      <c r="F741" s="46" t="s">
        <v>97</v>
      </c>
    </row>
    <row r="742" spans="5:6" x14ac:dyDescent="0.3">
      <c r="E742" s="38" t="s">
        <v>286</v>
      </c>
      <c r="F742" s="45" t="s">
        <v>97</v>
      </c>
    </row>
    <row r="743" spans="5:6" x14ac:dyDescent="0.3">
      <c r="E743" s="39" t="s">
        <v>291</v>
      </c>
      <c r="F743" s="46" t="s">
        <v>97</v>
      </c>
    </row>
    <row r="744" spans="5:6" x14ac:dyDescent="0.3">
      <c r="E744" s="38" t="s">
        <v>293</v>
      </c>
      <c r="F744" s="45" t="s">
        <v>97</v>
      </c>
    </row>
    <row r="745" spans="5:6" x14ac:dyDescent="0.3">
      <c r="E745" s="39" t="s">
        <v>294</v>
      </c>
      <c r="F745" s="46" t="s">
        <v>97</v>
      </c>
    </row>
    <row r="746" spans="5:6" x14ac:dyDescent="0.3">
      <c r="E746" s="38" t="s">
        <v>564</v>
      </c>
      <c r="F746" s="45" t="s">
        <v>97</v>
      </c>
    </row>
    <row r="747" spans="5:6" x14ac:dyDescent="0.3">
      <c r="E747" s="39" t="s">
        <v>801</v>
      </c>
      <c r="F747" s="46" t="s">
        <v>97</v>
      </c>
    </row>
    <row r="748" spans="5:6" x14ac:dyDescent="0.3">
      <c r="E748" s="38" t="s">
        <v>296</v>
      </c>
      <c r="F748" s="45" t="s">
        <v>97</v>
      </c>
    </row>
    <row r="749" spans="5:6" x14ac:dyDescent="0.3">
      <c r="E749" s="39" t="s">
        <v>297</v>
      </c>
      <c r="F749" s="46" t="s">
        <v>97</v>
      </c>
    </row>
    <row r="750" spans="5:6" x14ac:dyDescent="0.3">
      <c r="E750" s="38" t="s">
        <v>298</v>
      </c>
      <c r="F750" s="45" t="s">
        <v>97</v>
      </c>
    </row>
    <row r="751" spans="5:6" x14ac:dyDescent="0.3">
      <c r="E751" s="39" t="s">
        <v>390</v>
      </c>
      <c r="F751" s="46" t="s">
        <v>97</v>
      </c>
    </row>
    <row r="752" spans="5:6" x14ac:dyDescent="0.3">
      <c r="E752" s="38" t="s">
        <v>802</v>
      </c>
      <c r="F752" s="45" t="s">
        <v>97</v>
      </c>
    </row>
    <row r="753" spans="5:6" x14ac:dyDescent="0.3">
      <c r="E753" s="39" t="s">
        <v>803</v>
      </c>
      <c r="F753" s="46" t="s">
        <v>97</v>
      </c>
    </row>
    <row r="754" spans="5:6" x14ac:dyDescent="0.3">
      <c r="E754" s="38" t="s">
        <v>439</v>
      </c>
      <c r="F754" s="45" t="s">
        <v>97</v>
      </c>
    </row>
    <row r="755" spans="5:6" x14ac:dyDescent="0.3">
      <c r="E755" s="39" t="s">
        <v>804</v>
      </c>
      <c r="F755" s="46" t="s">
        <v>97</v>
      </c>
    </row>
    <row r="756" spans="5:6" x14ac:dyDescent="0.3">
      <c r="E756" s="38" t="s">
        <v>805</v>
      </c>
      <c r="F756" s="45" t="s">
        <v>97</v>
      </c>
    </row>
    <row r="757" spans="5:6" x14ac:dyDescent="0.3">
      <c r="E757" s="39" t="s">
        <v>299</v>
      </c>
      <c r="F757" s="46" t="s">
        <v>97</v>
      </c>
    </row>
    <row r="758" spans="5:6" x14ac:dyDescent="0.3">
      <c r="E758" s="38" t="s">
        <v>301</v>
      </c>
      <c r="F758" s="45" t="s">
        <v>97</v>
      </c>
    </row>
    <row r="759" spans="5:6" x14ac:dyDescent="0.3">
      <c r="E759" s="39" t="s">
        <v>806</v>
      </c>
      <c r="F759" s="46" t="s">
        <v>97</v>
      </c>
    </row>
    <row r="760" spans="5:6" x14ac:dyDescent="0.3">
      <c r="E760" s="38" t="s">
        <v>807</v>
      </c>
      <c r="F760" s="45" t="s">
        <v>97</v>
      </c>
    </row>
    <row r="761" spans="5:6" x14ac:dyDescent="0.3">
      <c r="E761" s="39" t="s">
        <v>397</v>
      </c>
      <c r="F761" s="46" t="s">
        <v>97</v>
      </c>
    </row>
    <row r="762" spans="5:6" x14ac:dyDescent="0.3">
      <c r="E762" s="38" t="s">
        <v>572</v>
      </c>
      <c r="F762" s="45" t="s">
        <v>97</v>
      </c>
    </row>
    <row r="763" spans="5:6" x14ac:dyDescent="0.3">
      <c r="E763" s="39" t="s">
        <v>302</v>
      </c>
      <c r="F763" s="46" t="s">
        <v>97</v>
      </c>
    </row>
    <row r="764" spans="5:6" x14ac:dyDescent="0.3">
      <c r="E764" s="38" t="s">
        <v>808</v>
      </c>
      <c r="F764" s="45" t="s">
        <v>97</v>
      </c>
    </row>
    <row r="765" spans="5:6" x14ac:dyDescent="0.3">
      <c r="E765" s="39" t="s">
        <v>809</v>
      </c>
      <c r="F765" s="46" t="s">
        <v>97</v>
      </c>
    </row>
    <row r="766" spans="5:6" x14ac:dyDescent="0.3">
      <c r="E766" s="38" t="s">
        <v>810</v>
      </c>
      <c r="F766" s="45" t="s">
        <v>97</v>
      </c>
    </row>
    <row r="767" spans="5:6" x14ac:dyDescent="0.3">
      <c r="E767" s="39" t="s">
        <v>400</v>
      </c>
      <c r="F767" s="46" t="s">
        <v>97</v>
      </c>
    </row>
    <row r="768" spans="5:6" x14ac:dyDescent="0.3">
      <c r="E768" s="38" t="s">
        <v>305</v>
      </c>
      <c r="F768" s="45" t="s">
        <v>97</v>
      </c>
    </row>
    <row r="769" spans="5:6" x14ac:dyDescent="0.3">
      <c r="E769" s="39" t="s">
        <v>811</v>
      </c>
      <c r="F769" s="46" t="s">
        <v>97</v>
      </c>
    </row>
    <row r="770" spans="5:6" x14ac:dyDescent="0.3">
      <c r="E770" s="38" t="s">
        <v>812</v>
      </c>
      <c r="F770" s="45" t="s">
        <v>97</v>
      </c>
    </row>
    <row r="771" spans="5:6" x14ac:dyDescent="0.3">
      <c r="E771" s="39" t="s">
        <v>813</v>
      </c>
      <c r="F771" s="46" t="s">
        <v>97</v>
      </c>
    </row>
    <row r="772" spans="5:6" x14ac:dyDescent="0.3">
      <c r="E772" s="38" t="s">
        <v>814</v>
      </c>
      <c r="F772" s="45" t="s">
        <v>97</v>
      </c>
    </row>
    <row r="773" spans="5:6" x14ac:dyDescent="0.3">
      <c r="E773" s="39" t="s">
        <v>815</v>
      </c>
      <c r="F773" s="46" t="s">
        <v>97</v>
      </c>
    </row>
    <row r="774" spans="5:6" x14ac:dyDescent="0.3">
      <c r="E774" s="38" t="s">
        <v>816</v>
      </c>
      <c r="F774" s="45" t="s">
        <v>97</v>
      </c>
    </row>
    <row r="775" spans="5:6" x14ac:dyDescent="0.3">
      <c r="E775" s="39" t="s">
        <v>817</v>
      </c>
      <c r="F775" s="46" t="s">
        <v>97</v>
      </c>
    </row>
    <row r="776" spans="5:6" x14ac:dyDescent="0.3">
      <c r="E776" s="38" t="s">
        <v>406</v>
      </c>
      <c r="F776" s="45" t="s">
        <v>97</v>
      </c>
    </row>
    <row r="777" spans="5:6" x14ac:dyDescent="0.3">
      <c r="E777" s="39" t="s">
        <v>818</v>
      </c>
      <c r="F777" s="46" t="s">
        <v>97</v>
      </c>
    </row>
    <row r="778" spans="5:6" x14ac:dyDescent="0.3">
      <c r="E778" s="38" t="s">
        <v>819</v>
      </c>
      <c r="F778" s="45" t="s">
        <v>97</v>
      </c>
    </row>
    <row r="779" spans="5:6" x14ac:dyDescent="0.3">
      <c r="E779" s="39" t="s">
        <v>820</v>
      </c>
      <c r="F779" s="46" t="s">
        <v>97</v>
      </c>
    </row>
    <row r="780" spans="5:6" x14ac:dyDescent="0.3">
      <c r="E780" s="38" t="s">
        <v>777</v>
      </c>
      <c r="F780" s="45" t="s">
        <v>97</v>
      </c>
    </row>
    <row r="781" spans="5:6" x14ac:dyDescent="0.3">
      <c r="E781" s="39" t="s">
        <v>683</v>
      </c>
      <c r="F781" s="46" t="s">
        <v>97</v>
      </c>
    </row>
    <row r="782" spans="5:6" x14ac:dyDescent="0.3">
      <c r="E782" s="38" t="s">
        <v>821</v>
      </c>
      <c r="F782" s="45" t="s">
        <v>97</v>
      </c>
    </row>
    <row r="783" spans="5:6" x14ac:dyDescent="0.3">
      <c r="E783" s="39" t="s">
        <v>311</v>
      </c>
      <c r="F783" s="46" t="s">
        <v>97</v>
      </c>
    </row>
    <row r="784" spans="5:6" x14ac:dyDescent="0.3">
      <c r="E784" s="38" t="s">
        <v>684</v>
      </c>
      <c r="F784" s="45" t="s">
        <v>97</v>
      </c>
    </row>
    <row r="785" spans="5:6" x14ac:dyDescent="0.3">
      <c r="E785" s="39" t="s">
        <v>822</v>
      </c>
      <c r="F785" s="46" t="s">
        <v>97</v>
      </c>
    </row>
    <row r="786" spans="5:6" x14ac:dyDescent="0.3">
      <c r="E786" s="38" t="s">
        <v>408</v>
      </c>
      <c r="F786" s="45" t="s">
        <v>97</v>
      </c>
    </row>
    <row r="787" spans="5:6" x14ac:dyDescent="0.3">
      <c r="E787" s="39" t="s">
        <v>823</v>
      </c>
      <c r="F787" s="46" t="s">
        <v>97</v>
      </c>
    </row>
    <row r="788" spans="5:6" x14ac:dyDescent="0.3">
      <c r="E788" s="38" t="s">
        <v>824</v>
      </c>
      <c r="F788" s="45" t="s">
        <v>96</v>
      </c>
    </row>
    <row r="789" spans="5:6" x14ac:dyDescent="0.3">
      <c r="E789" s="39" t="s">
        <v>467</v>
      </c>
      <c r="F789" s="46" t="s">
        <v>96</v>
      </c>
    </row>
    <row r="790" spans="5:6" x14ac:dyDescent="0.3">
      <c r="E790" s="38" t="s">
        <v>825</v>
      </c>
      <c r="F790" s="45" t="s">
        <v>96</v>
      </c>
    </row>
    <row r="791" spans="5:6" x14ac:dyDescent="0.3">
      <c r="E791" s="39" t="s">
        <v>826</v>
      </c>
      <c r="F791" s="46" t="s">
        <v>96</v>
      </c>
    </row>
    <row r="792" spans="5:6" x14ac:dyDescent="0.3">
      <c r="E792" s="38" t="s">
        <v>827</v>
      </c>
      <c r="F792" s="45" t="s">
        <v>96</v>
      </c>
    </row>
    <row r="793" spans="5:6" x14ac:dyDescent="0.3">
      <c r="E793" s="39" t="s">
        <v>357</v>
      </c>
      <c r="F793" s="46" t="s">
        <v>96</v>
      </c>
    </row>
    <row r="794" spans="5:6" x14ac:dyDescent="0.3">
      <c r="E794" s="38" t="s">
        <v>828</v>
      </c>
      <c r="F794" s="45" t="s">
        <v>96</v>
      </c>
    </row>
    <row r="795" spans="5:6" x14ac:dyDescent="0.3">
      <c r="E795" s="39" t="s">
        <v>358</v>
      </c>
      <c r="F795" s="46" t="s">
        <v>96</v>
      </c>
    </row>
    <row r="796" spans="5:6" x14ac:dyDescent="0.3">
      <c r="E796" s="38" t="s">
        <v>829</v>
      </c>
      <c r="F796" s="45" t="s">
        <v>96</v>
      </c>
    </row>
    <row r="797" spans="5:6" x14ac:dyDescent="0.3">
      <c r="E797" s="39" t="s">
        <v>830</v>
      </c>
      <c r="F797" s="46" t="s">
        <v>96</v>
      </c>
    </row>
    <row r="798" spans="5:6" x14ac:dyDescent="0.3">
      <c r="E798" s="38" t="s">
        <v>831</v>
      </c>
      <c r="F798" s="45" t="s">
        <v>96</v>
      </c>
    </row>
    <row r="799" spans="5:6" x14ac:dyDescent="0.3">
      <c r="E799" s="39" t="s">
        <v>253</v>
      </c>
      <c r="F799" s="46" t="s">
        <v>96</v>
      </c>
    </row>
    <row r="800" spans="5:6" x14ac:dyDescent="0.3">
      <c r="E800" s="38" t="s">
        <v>254</v>
      </c>
      <c r="F800" s="45" t="s">
        <v>96</v>
      </c>
    </row>
    <row r="801" spans="5:6" x14ac:dyDescent="0.3">
      <c r="E801" s="39" t="s">
        <v>360</v>
      </c>
      <c r="F801" s="46" t="s">
        <v>96</v>
      </c>
    </row>
    <row r="802" spans="5:6" x14ac:dyDescent="0.3">
      <c r="E802" s="38" t="s">
        <v>733</v>
      </c>
      <c r="F802" s="45" t="s">
        <v>96</v>
      </c>
    </row>
    <row r="803" spans="5:6" x14ac:dyDescent="0.3">
      <c r="E803" s="39" t="s">
        <v>832</v>
      </c>
      <c r="F803" s="46" t="s">
        <v>96</v>
      </c>
    </row>
    <row r="804" spans="5:6" x14ac:dyDescent="0.3">
      <c r="E804" s="38" t="s">
        <v>833</v>
      </c>
      <c r="F804" s="45" t="s">
        <v>96</v>
      </c>
    </row>
    <row r="805" spans="5:6" x14ac:dyDescent="0.3">
      <c r="E805" s="39" t="s">
        <v>256</v>
      </c>
      <c r="F805" s="46" t="s">
        <v>96</v>
      </c>
    </row>
    <row r="806" spans="5:6" x14ac:dyDescent="0.3">
      <c r="E806" s="38" t="s">
        <v>834</v>
      </c>
      <c r="F806" s="45" t="s">
        <v>96</v>
      </c>
    </row>
    <row r="807" spans="5:6" x14ac:dyDescent="0.3">
      <c r="E807" s="39" t="s">
        <v>259</v>
      </c>
      <c r="F807" s="46" t="s">
        <v>96</v>
      </c>
    </row>
    <row r="808" spans="5:6" x14ac:dyDescent="0.3">
      <c r="E808" s="38" t="s">
        <v>260</v>
      </c>
      <c r="F808" s="45" t="s">
        <v>96</v>
      </c>
    </row>
    <row r="809" spans="5:6" x14ac:dyDescent="0.3">
      <c r="E809" s="39" t="s">
        <v>605</v>
      </c>
      <c r="F809" s="46" t="s">
        <v>96</v>
      </c>
    </row>
    <row r="810" spans="5:6" x14ac:dyDescent="0.3">
      <c r="E810" s="38" t="s">
        <v>736</v>
      </c>
      <c r="F810" s="45" t="s">
        <v>96</v>
      </c>
    </row>
    <row r="811" spans="5:6" x14ac:dyDescent="0.3">
      <c r="E811" s="39" t="s">
        <v>367</v>
      </c>
      <c r="F811" s="46" t="s">
        <v>96</v>
      </c>
    </row>
    <row r="812" spans="5:6" x14ac:dyDescent="0.3">
      <c r="E812" s="38" t="s">
        <v>270</v>
      </c>
      <c r="F812" s="45" t="s">
        <v>96</v>
      </c>
    </row>
    <row r="813" spans="5:6" x14ac:dyDescent="0.3">
      <c r="E813" s="39" t="s">
        <v>835</v>
      </c>
      <c r="F813" s="46" t="s">
        <v>96</v>
      </c>
    </row>
    <row r="814" spans="5:6" x14ac:dyDescent="0.3">
      <c r="E814" s="38" t="s">
        <v>613</v>
      </c>
      <c r="F814" s="45" t="s">
        <v>96</v>
      </c>
    </row>
    <row r="815" spans="5:6" x14ac:dyDescent="0.3">
      <c r="E815" s="39" t="s">
        <v>788</v>
      </c>
      <c r="F815" s="46" t="s">
        <v>96</v>
      </c>
    </row>
    <row r="816" spans="5:6" x14ac:dyDescent="0.3">
      <c r="E816" s="38" t="s">
        <v>836</v>
      </c>
      <c r="F816" s="45" t="s">
        <v>96</v>
      </c>
    </row>
    <row r="817" spans="5:6" x14ac:dyDescent="0.3">
      <c r="E817" s="39" t="s">
        <v>837</v>
      </c>
      <c r="F817" s="46" t="s">
        <v>96</v>
      </c>
    </row>
    <row r="818" spans="5:6" x14ac:dyDescent="0.3">
      <c r="E818" s="38" t="s">
        <v>838</v>
      </c>
      <c r="F818" s="45" t="s">
        <v>96</v>
      </c>
    </row>
    <row r="819" spans="5:6" x14ac:dyDescent="0.3">
      <c r="E819" s="39" t="s">
        <v>839</v>
      </c>
      <c r="F819" s="46" t="s">
        <v>96</v>
      </c>
    </row>
    <row r="820" spans="5:6" x14ac:dyDescent="0.3">
      <c r="E820" s="38" t="s">
        <v>275</v>
      </c>
      <c r="F820" s="45" t="s">
        <v>96</v>
      </c>
    </row>
    <row r="821" spans="5:6" x14ac:dyDescent="0.3">
      <c r="E821" s="39" t="s">
        <v>624</v>
      </c>
      <c r="F821" s="46" t="s">
        <v>96</v>
      </c>
    </row>
    <row r="822" spans="5:6" x14ac:dyDescent="0.3">
      <c r="E822" s="38" t="s">
        <v>276</v>
      </c>
      <c r="F822" s="45" t="s">
        <v>96</v>
      </c>
    </row>
    <row r="823" spans="5:6" x14ac:dyDescent="0.3">
      <c r="E823" s="39" t="s">
        <v>488</v>
      </c>
      <c r="F823" s="46" t="s">
        <v>96</v>
      </c>
    </row>
    <row r="824" spans="5:6" x14ac:dyDescent="0.3">
      <c r="E824" s="38" t="s">
        <v>278</v>
      </c>
      <c r="F824" s="45" t="s">
        <v>96</v>
      </c>
    </row>
    <row r="825" spans="5:6" x14ac:dyDescent="0.3">
      <c r="E825" s="39" t="s">
        <v>745</v>
      </c>
      <c r="F825" s="46" t="s">
        <v>96</v>
      </c>
    </row>
    <row r="826" spans="5:6" x14ac:dyDescent="0.3">
      <c r="E826" s="38" t="s">
        <v>840</v>
      </c>
      <c r="F826" s="45" t="s">
        <v>96</v>
      </c>
    </row>
    <row r="827" spans="5:6" x14ac:dyDescent="0.3">
      <c r="E827" s="39" t="s">
        <v>552</v>
      </c>
      <c r="F827" s="46" t="s">
        <v>96</v>
      </c>
    </row>
    <row r="828" spans="5:6" x14ac:dyDescent="0.3">
      <c r="E828" s="38" t="s">
        <v>634</v>
      </c>
      <c r="F828" s="45" t="s">
        <v>96</v>
      </c>
    </row>
    <row r="829" spans="5:6" x14ac:dyDescent="0.3">
      <c r="E829" s="39" t="s">
        <v>746</v>
      </c>
      <c r="F829" s="46" t="s">
        <v>96</v>
      </c>
    </row>
    <row r="830" spans="5:6" x14ac:dyDescent="0.3">
      <c r="E830" s="38" t="s">
        <v>793</v>
      </c>
      <c r="F830" s="45" t="s">
        <v>96</v>
      </c>
    </row>
    <row r="831" spans="5:6" x14ac:dyDescent="0.3">
      <c r="E831" s="39" t="s">
        <v>280</v>
      </c>
      <c r="F831" s="46" t="s">
        <v>96</v>
      </c>
    </row>
    <row r="832" spans="5:6" x14ac:dyDescent="0.3">
      <c r="E832" s="38" t="s">
        <v>378</v>
      </c>
      <c r="F832" s="45" t="s">
        <v>96</v>
      </c>
    </row>
    <row r="833" spans="5:6" x14ac:dyDescent="0.3">
      <c r="E833" s="39" t="s">
        <v>422</v>
      </c>
      <c r="F833" s="46" t="s">
        <v>96</v>
      </c>
    </row>
    <row r="834" spans="5:6" x14ac:dyDescent="0.3">
      <c r="E834" s="38" t="s">
        <v>841</v>
      </c>
      <c r="F834" s="45" t="s">
        <v>96</v>
      </c>
    </row>
    <row r="835" spans="5:6" x14ac:dyDescent="0.3">
      <c r="E835" s="39" t="s">
        <v>842</v>
      </c>
      <c r="F835" s="46" t="s">
        <v>96</v>
      </c>
    </row>
    <row r="836" spans="5:6" x14ac:dyDescent="0.3">
      <c r="E836" s="38" t="s">
        <v>282</v>
      </c>
      <c r="F836" s="45" t="s">
        <v>96</v>
      </c>
    </row>
    <row r="837" spans="5:6" x14ac:dyDescent="0.3">
      <c r="E837" s="39" t="s">
        <v>640</v>
      </c>
      <c r="F837" s="46" t="s">
        <v>96</v>
      </c>
    </row>
    <row r="838" spans="5:6" x14ac:dyDescent="0.3">
      <c r="E838" s="38" t="s">
        <v>283</v>
      </c>
      <c r="F838" s="45" t="s">
        <v>96</v>
      </c>
    </row>
    <row r="839" spans="5:6" x14ac:dyDescent="0.3">
      <c r="E839" s="39" t="s">
        <v>381</v>
      </c>
      <c r="F839" s="46" t="s">
        <v>96</v>
      </c>
    </row>
    <row r="840" spans="5:6" x14ac:dyDescent="0.3">
      <c r="E840" s="38" t="s">
        <v>643</v>
      </c>
      <c r="F840" s="45" t="s">
        <v>96</v>
      </c>
    </row>
    <row r="841" spans="5:6" x14ac:dyDescent="0.3">
      <c r="E841" s="39" t="s">
        <v>843</v>
      </c>
      <c r="F841" s="46" t="s">
        <v>96</v>
      </c>
    </row>
    <row r="842" spans="5:6" x14ac:dyDescent="0.3">
      <c r="E842" s="38" t="s">
        <v>844</v>
      </c>
      <c r="F842" s="45" t="s">
        <v>96</v>
      </c>
    </row>
    <row r="843" spans="5:6" x14ac:dyDescent="0.3">
      <c r="E843" s="39" t="s">
        <v>287</v>
      </c>
      <c r="F843" s="46" t="s">
        <v>96</v>
      </c>
    </row>
    <row r="844" spans="5:6" x14ac:dyDescent="0.3">
      <c r="E844" s="38" t="s">
        <v>845</v>
      </c>
      <c r="F844" s="45" t="s">
        <v>96</v>
      </c>
    </row>
    <row r="845" spans="5:6" x14ac:dyDescent="0.3">
      <c r="E845" s="39" t="s">
        <v>846</v>
      </c>
      <c r="F845" s="46" t="s">
        <v>96</v>
      </c>
    </row>
    <row r="846" spans="5:6" x14ac:dyDescent="0.3">
      <c r="E846" s="38" t="s">
        <v>847</v>
      </c>
      <c r="F846" s="45" t="s">
        <v>96</v>
      </c>
    </row>
    <row r="847" spans="5:6" x14ac:dyDescent="0.3">
      <c r="E847" s="39" t="s">
        <v>848</v>
      </c>
      <c r="F847" s="46" t="s">
        <v>96</v>
      </c>
    </row>
    <row r="848" spans="5:6" x14ac:dyDescent="0.3">
      <c r="E848" s="38" t="s">
        <v>291</v>
      </c>
      <c r="F848" s="45" t="s">
        <v>96</v>
      </c>
    </row>
    <row r="849" spans="5:6" x14ac:dyDescent="0.3">
      <c r="E849" s="39" t="s">
        <v>849</v>
      </c>
      <c r="F849" s="46" t="s">
        <v>96</v>
      </c>
    </row>
    <row r="850" spans="5:6" x14ac:dyDescent="0.3">
      <c r="E850" s="38" t="s">
        <v>293</v>
      </c>
      <c r="F850" s="45" t="s">
        <v>96</v>
      </c>
    </row>
    <row r="851" spans="5:6" x14ac:dyDescent="0.3">
      <c r="E851" s="39" t="s">
        <v>294</v>
      </c>
      <c r="F851" s="46" t="s">
        <v>96</v>
      </c>
    </row>
    <row r="852" spans="5:6" x14ac:dyDescent="0.3">
      <c r="E852" s="38" t="s">
        <v>850</v>
      </c>
      <c r="F852" s="45" t="s">
        <v>96</v>
      </c>
    </row>
    <row r="853" spans="5:6" x14ac:dyDescent="0.3">
      <c r="E853" s="39" t="s">
        <v>651</v>
      </c>
      <c r="F853" s="46" t="s">
        <v>96</v>
      </c>
    </row>
    <row r="854" spans="5:6" x14ac:dyDescent="0.3">
      <c r="E854" s="38" t="s">
        <v>851</v>
      </c>
      <c r="F854" s="45" t="s">
        <v>96</v>
      </c>
    </row>
    <row r="855" spans="5:6" x14ac:dyDescent="0.3">
      <c r="E855" s="39" t="s">
        <v>296</v>
      </c>
      <c r="F855" s="46" t="s">
        <v>96</v>
      </c>
    </row>
    <row r="856" spans="5:6" x14ac:dyDescent="0.3">
      <c r="E856" s="38" t="s">
        <v>297</v>
      </c>
      <c r="F856" s="45" t="s">
        <v>96</v>
      </c>
    </row>
    <row r="857" spans="5:6" x14ac:dyDescent="0.3">
      <c r="E857" s="39" t="s">
        <v>852</v>
      </c>
      <c r="F857" s="46" t="s">
        <v>96</v>
      </c>
    </row>
    <row r="858" spans="5:6" x14ac:dyDescent="0.3">
      <c r="E858" s="38" t="s">
        <v>853</v>
      </c>
      <c r="F858" s="45" t="s">
        <v>96</v>
      </c>
    </row>
    <row r="859" spans="5:6" x14ac:dyDescent="0.3">
      <c r="E859" s="39" t="s">
        <v>568</v>
      </c>
      <c r="F859" s="46" t="s">
        <v>96</v>
      </c>
    </row>
    <row r="860" spans="5:6" x14ac:dyDescent="0.3">
      <c r="E860" s="38" t="s">
        <v>854</v>
      </c>
      <c r="F860" s="45" t="s">
        <v>96</v>
      </c>
    </row>
    <row r="861" spans="5:6" x14ac:dyDescent="0.3">
      <c r="E861" s="39" t="s">
        <v>855</v>
      </c>
      <c r="F861" s="46" t="s">
        <v>96</v>
      </c>
    </row>
    <row r="862" spans="5:6" x14ac:dyDescent="0.3">
      <c r="E862" s="38" t="s">
        <v>856</v>
      </c>
      <c r="F862" s="45" t="s">
        <v>96</v>
      </c>
    </row>
    <row r="863" spans="5:6" x14ac:dyDescent="0.3">
      <c r="E863" s="39" t="s">
        <v>857</v>
      </c>
      <c r="F863" s="46" t="s">
        <v>96</v>
      </c>
    </row>
    <row r="864" spans="5:6" x14ac:dyDescent="0.3">
      <c r="E864" s="38" t="s">
        <v>394</v>
      </c>
      <c r="F864" s="45" t="s">
        <v>96</v>
      </c>
    </row>
    <row r="865" spans="5:6" x14ac:dyDescent="0.3">
      <c r="E865" s="39" t="s">
        <v>858</v>
      </c>
      <c r="F865" s="46" t="s">
        <v>96</v>
      </c>
    </row>
    <row r="866" spans="5:6" x14ac:dyDescent="0.3">
      <c r="E866" s="38" t="s">
        <v>859</v>
      </c>
      <c r="F866" s="45" t="s">
        <v>96</v>
      </c>
    </row>
    <row r="867" spans="5:6" x14ac:dyDescent="0.3">
      <c r="E867" s="39" t="s">
        <v>860</v>
      </c>
      <c r="F867" s="46" t="s">
        <v>96</v>
      </c>
    </row>
    <row r="868" spans="5:6" x14ac:dyDescent="0.3">
      <c r="E868" s="38" t="s">
        <v>861</v>
      </c>
      <c r="F868" s="45" t="s">
        <v>96</v>
      </c>
    </row>
    <row r="869" spans="5:6" x14ac:dyDescent="0.3">
      <c r="E869" s="39" t="s">
        <v>400</v>
      </c>
      <c r="F869" s="46" t="s">
        <v>96</v>
      </c>
    </row>
    <row r="870" spans="5:6" x14ac:dyDescent="0.3">
      <c r="E870" s="38" t="s">
        <v>305</v>
      </c>
      <c r="F870" s="45" t="s">
        <v>96</v>
      </c>
    </row>
    <row r="871" spans="5:6" x14ac:dyDescent="0.3">
      <c r="E871" s="39" t="s">
        <v>862</v>
      </c>
      <c r="F871" s="46" t="s">
        <v>96</v>
      </c>
    </row>
    <row r="872" spans="5:6" x14ac:dyDescent="0.3">
      <c r="E872" s="38" t="s">
        <v>863</v>
      </c>
      <c r="F872" s="45" t="s">
        <v>96</v>
      </c>
    </row>
    <row r="873" spans="5:6" x14ac:dyDescent="0.3">
      <c r="E873" s="39" t="s">
        <v>864</v>
      </c>
      <c r="F873" s="46" t="s">
        <v>96</v>
      </c>
    </row>
    <row r="874" spans="5:6" x14ac:dyDescent="0.3">
      <c r="E874" s="38" t="s">
        <v>579</v>
      </c>
      <c r="F874" s="45" t="s">
        <v>96</v>
      </c>
    </row>
    <row r="875" spans="5:6" x14ac:dyDescent="0.3">
      <c r="E875" s="39" t="s">
        <v>406</v>
      </c>
      <c r="F875" s="46" t="s">
        <v>96</v>
      </c>
    </row>
    <row r="876" spans="5:6" x14ac:dyDescent="0.3">
      <c r="E876" s="38" t="s">
        <v>407</v>
      </c>
      <c r="F876" s="45" t="s">
        <v>96</v>
      </c>
    </row>
    <row r="877" spans="5:6" x14ac:dyDescent="0.3">
      <c r="E877" s="39" t="s">
        <v>865</v>
      </c>
      <c r="F877" s="46" t="s">
        <v>96</v>
      </c>
    </row>
    <row r="878" spans="5:6" x14ac:dyDescent="0.3">
      <c r="E878" s="38" t="s">
        <v>683</v>
      </c>
      <c r="F878" s="45" t="s">
        <v>96</v>
      </c>
    </row>
    <row r="879" spans="5:6" x14ac:dyDescent="0.3">
      <c r="E879" s="39" t="s">
        <v>311</v>
      </c>
      <c r="F879" s="46" t="s">
        <v>96</v>
      </c>
    </row>
    <row r="880" spans="5:6" x14ac:dyDescent="0.3">
      <c r="E880" s="38" t="s">
        <v>684</v>
      </c>
      <c r="F880" s="45" t="s">
        <v>96</v>
      </c>
    </row>
    <row r="881" spans="5:6" x14ac:dyDescent="0.3">
      <c r="E881" s="39" t="s">
        <v>685</v>
      </c>
      <c r="F881" s="46" t="s">
        <v>96</v>
      </c>
    </row>
    <row r="882" spans="5:6" x14ac:dyDescent="0.3">
      <c r="E882" s="38" t="s">
        <v>781</v>
      </c>
      <c r="F882" s="45" t="s">
        <v>96</v>
      </c>
    </row>
    <row r="883" spans="5:6" x14ac:dyDescent="0.3">
      <c r="E883" s="39" t="s">
        <v>866</v>
      </c>
      <c r="F883" s="46" t="s">
        <v>96</v>
      </c>
    </row>
    <row r="884" spans="5:6" x14ac:dyDescent="0.3">
      <c r="E884" s="38" t="s">
        <v>867</v>
      </c>
      <c r="F884" s="45" t="s">
        <v>96</v>
      </c>
    </row>
    <row r="885" spans="5:6" x14ac:dyDescent="0.3">
      <c r="E885" s="39" t="s">
        <v>690</v>
      </c>
      <c r="F885" s="46" t="s">
        <v>96</v>
      </c>
    </row>
    <row r="886" spans="5:6" x14ac:dyDescent="0.3">
      <c r="E886" s="38" t="s">
        <v>868</v>
      </c>
      <c r="F886" s="45" t="s">
        <v>96</v>
      </c>
    </row>
    <row r="887" spans="5:6" x14ac:dyDescent="0.3">
      <c r="E887" s="39" t="s">
        <v>783</v>
      </c>
      <c r="F887" s="46" t="s">
        <v>95</v>
      </c>
    </row>
    <row r="888" spans="5:6" x14ac:dyDescent="0.3">
      <c r="E888" s="38" t="s">
        <v>869</v>
      </c>
      <c r="F888" s="45" t="s">
        <v>95</v>
      </c>
    </row>
    <row r="889" spans="5:6" x14ac:dyDescent="0.3">
      <c r="E889" s="39" t="s">
        <v>870</v>
      </c>
      <c r="F889" s="46" t="s">
        <v>95</v>
      </c>
    </row>
    <row r="890" spans="5:6" x14ac:dyDescent="0.3">
      <c r="E890" s="38" t="s">
        <v>871</v>
      </c>
      <c r="F890" s="45" t="s">
        <v>95</v>
      </c>
    </row>
    <row r="891" spans="5:6" x14ac:dyDescent="0.3">
      <c r="E891" s="39" t="s">
        <v>872</v>
      </c>
      <c r="F891" s="46" t="s">
        <v>95</v>
      </c>
    </row>
    <row r="892" spans="5:6" x14ac:dyDescent="0.3">
      <c r="E892" s="38" t="s">
        <v>873</v>
      </c>
      <c r="F892" s="45" t="s">
        <v>95</v>
      </c>
    </row>
    <row r="893" spans="5:6" x14ac:dyDescent="0.3">
      <c r="E893" s="39" t="s">
        <v>731</v>
      </c>
      <c r="F893" s="46" t="s">
        <v>95</v>
      </c>
    </row>
    <row r="894" spans="5:6" x14ac:dyDescent="0.3">
      <c r="E894" s="38" t="s">
        <v>253</v>
      </c>
      <c r="F894" s="45" t="s">
        <v>95</v>
      </c>
    </row>
    <row r="895" spans="5:6" x14ac:dyDescent="0.3">
      <c r="E895" s="39" t="s">
        <v>874</v>
      </c>
      <c r="F895" s="46" t="s">
        <v>95</v>
      </c>
    </row>
    <row r="896" spans="5:6" x14ac:dyDescent="0.3">
      <c r="E896" s="38" t="s">
        <v>875</v>
      </c>
      <c r="F896" s="45" t="s">
        <v>95</v>
      </c>
    </row>
    <row r="897" spans="5:6" x14ac:dyDescent="0.3">
      <c r="E897" s="39" t="s">
        <v>256</v>
      </c>
      <c r="F897" s="46" t="s">
        <v>95</v>
      </c>
    </row>
    <row r="898" spans="5:6" x14ac:dyDescent="0.3">
      <c r="E898" s="38" t="s">
        <v>475</v>
      </c>
      <c r="F898" s="45" t="s">
        <v>95</v>
      </c>
    </row>
    <row r="899" spans="5:6" x14ac:dyDescent="0.3">
      <c r="E899" s="39" t="s">
        <v>362</v>
      </c>
      <c r="F899" s="46" t="s">
        <v>95</v>
      </c>
    </row>
    <row r="900" spans="5:6" x14ac:dyDescent="0.3">
      <c r="E900" s="38" t="s">
        <v>260</v>
      </c>
      <c r="F900" s="45" t="s">
        <v>95</v>
      </c>
    </row>
    <row r="901" spans="5:6" x14ac:dyDescent="0.3">
      <c r="E901" s="39" t="s">
        <v>876</v>
      </c>
      <c r="F901" s="46" t="s">
        <v>95</v>
      </c>
    </row>
    <row r="902" spans="5:6" x14ac:dyDescent="0.3">
      <c r="E902" s="38" t="s">
        <v>877</v>
      </c>
      <c r="F902" s="45" t="s">
        <v>95</v>
      </c>
    </row>
    <row r="903" spans="5:6" x14ac:dyDescent="0.3">
      <c r="E903" s="39" t="s">
        <v>878</v>
      </c>
      <c r="F903" s="46" t="s">
        <v>95</v>
      </c>
    </row>
    <row r="904" spans="5:6" x14ac:dyDescent="0.3">
      <c r="E904" s="38" t="s">
        <v>879</v>
      </c>
      <c r="F904" s="45" t="s">
        <v>95</v>
      </c>
    </row>
    <row r="905" spans="5:6" x14ac:dyDescent="0.3">
      <c r="E905" s="39" t="s">
        <v>367</v>
      </c>
      <c r="F905" s="46" t="s">
        <v>95</v>
      </c>
    </row>
    <row r="906" spans="5:6" x14ac:dyDescent="0.3">
      <c r="E906" s="38" t="s">
        <v>613</v>
      </c>
      <c r="F906" s="45" t="s">
        <v>95</v>
      </c>
    </row>
    <row r="907" spans="5:6" x14ac:dyDescent="0.3">
      <c r="E907" s="39" t="s">
        <v>837</v>
      </c>
      <c r="F907" s="46" t="s">
        <v>95</v>
      </c>
    </row>
    <row r="908" spans="5:6" x14ac:dyDescent="0.3">
      <c r="E908" s="38" t="s">
        <v>880</v>
      </c>
      <c r="F908" s="45" t="s">
        <v>95</v>
      </c>
    </row>
    <row r="909" spans="5:6" x14ac:dyDescent="0.3">
      <c r="E909" s="39" t="s">
        <v>484</v>
      </c>
      <c r="F909" s="46" t="s">
        <v>95</v>
      </c>
    </row>
    <row r="910" spans="5:6" x14ac:dyDescent="0.3">
      <c r="E910" s="38" t="s">
        <v>742</v>
      </c>
      <c r="F910" s="45" t="s">
        <v>95</v>
      </c>
    </row>
    <row r="911" spans="5:6" x14ac:dyDescent="0.3">
      <c r="E911" s="39" t="s">
        <v>881</v>
      </c>
      <c r="F911" s="46" t="s">
        <v>95</v>
      </c>
    </row>
    <row r="912" spans="5:6" x14ac:dyDescent="0.3">
      <c r="E912" s="38" t="s">
        <v>882</v>
      </c>
      <c r="F912" s="45" t="s">
        <v>95</v>
      </c>
    </row>
    <row r="913" spans="5:6" x14ac:dyDescent="0.3">
      <c r="E913" s="39" t="s">
        <v>883</v>
      </c>
      <c r="F913" s="46" t="s">
        <v>95</v>
      </c>
    </row>
    <row r="914" spans="5:6" x14ac:dyDescent="0.3">
      <c r="E914" s="38" t="s">
        <v>884</v>
      </c>
      <c r="F914" s="45" t="s">
        <v>95</v>
      </c>
    </row>
    <row r="915" spans="5:6" x14ac:dyDescent="0.3">
      <c r="E915" s="39" t="s">
        <v>743</v>
      </c>
      <c r="F915" s="46" t="s">
        <v>95</v>
      </c>
    </row>
    <row r="916" spans="5:6" x14ac:dyDescent="0.3">
      <c r="E916" s="38" t="s">
        <v>276</v>
      </c>
      <c r="F916" s="45" t="s">
        <v>95</v>
      </c>
    </row>
    <row r="917" spans="5:6" x14ac:dyDescent="0.3">
      <c r="E917" s="39" t="s">
        <v>885</v>
      </c>
      <c r="F917" s="46" t="s">
        <v>95</v>
      </c>
    </row>
    <row r="918" spans="5:6" x14ac:dyDescent="0.3">
      <c r="E918" s="38" t="s">
        <v>886</v>
      </c>
      <c r="F918" s="45" t="s">
        <v>95</v>
      </c>
    </row>
    <row r="919" spans="5:6" x14ac:dyDescent="0.3">
      <c r="E919" s="39" t="s">
        <v>343</v>
      </c>
      <c r="F919" s="46" t="s">
        <v>95</v>
      </c>
    </row>
    <row r="920" spans="5:6" x14ac:dyDescent="0.3">
      <c r="E920" s="38" t="s">
        <v>375</v>
      </c>
      <c r="F920" s="45" t="s">
        <v>95</v>
      </c>
    </row>
    <row r="921" spans="5:6" x14ac:dyDescent="0.3">
      <c r="E921" s="39" t="s">
        <v>887</v>
      </c>
      <c r="F921" s="46" t="s">
        <v>95</v>
      </c>
    </row>
    <row r="922" spans="5:6" x14ac:dyDescent="0.3">
      <c r="E922" s="38" t="s">
        <v>888</v>
      </c>
      <c r="F922" s="45" t="s">
        <v>95</v>
      </c>
    </row>
    <row r="923" spans="5:6" x14ac:dyDescent="0.3">
      <c r="E923" s="39" t="s">
        <v>889</v>
      </c>
      <c r="F923" s="46" t="s">
        <v>95</v>
      </c>
    </row>
    <row r="924" spans="5:6" x14ac:dyDescent="0.3">
      <c r="E924" s="38" t="s">
        <v>552</v>
      </c>
      <c r="F924" s="45" t="s">
        <v>95</v>
      </c>
    </row>
    <row r="925" spans="5:6" x14ac:dyDescent="0.3">
      <c r="E925" s="39" t="s">
        <v>890</v>
      </c>
      <c r="F925" s="46" t="s">
        <v>95</v>
      </c>
    </row>
    <row r="926" spans="5:6" x14ac:dyDescent="0.3">
      <c r="E926" s="38" t="s">
        <v>891</v>
      </c>
      <c r="F926" s="45" t="s">
        <v>95</v>
      </c>
    </row>
    <row r="927" spans="5:6" x14ac:dyDescent="0.3">
      <c r="E927" s="39" t="s">
        <v>892</v>
      </c>
      <c r="F927" s="46" t="s">
        <v>95</v>
      </c>
    </row>
    <row r="928" spans="5:6" x14ac:dyDescent="0.3">
      <c r="E928" s="38" t="s">
        <v>893</v>
      </c>
      <c r="F928" s="45" t="s">
        <v>95</v>
      </c>
    </row>
    <row r="929" spans="5:6" x14ac:dyDescent="0.3">
      <c r="E929" s="39" t="s">
        <v>282</v>
      </c>
      <c r="F929" s="46" t="s">
        <v>95</v>
      </c>
    </row>
    <row r="930" spans="5:6" x14ac:dyDescent="0.3">
      <c r="E930" s="38" t="s">
        <v>283</v>
      </c>
      <c r="F930" s="45" t="s">
        <v>95</v>
      </c>
    </row>
    <row r="931" spans="5:6" x14ac:dyDescent="0.3">
      <c r="E931" s="39" t="s">
        <v>894</v>
      </c>
      <c r="F931" s="46" t="s">
        <v>95</v>
      </c>
    </row>
    <row r="932" spans="5:6" x14ac:dyDescent="0.3">
      <c r="E932" s="38" t="s">
        <v>381</v>
      </c>
      <c r="F932" s="45" t="s">
        <v>95</v>
      </c>
    </row>
    <row r="933" spans="5:6" x14ac:dyDescent="0.3">
      <c r="E933" s="39" t="s">
        <v>895</v>
      </c>
      <c r="F933" s="46" t="s">
        <v>95</v>
      </c>
    </row>
    <row r="934" spans="5:6" x14ac:dyDescent="0.3">
      <c r="E934" s="38" t="s">
        <v>896</v>
      </c>
      <c r="F934" s="45" t="s">
        <v>95</v>
      </c>
    </row>
    <row r="935" spans="5:6" x14ac:dyDescent="0.3">
      <c r="E935" s="39" t="s">
        <v>495</v>
      </c>
      <c r="F935" s="46" t="s">
        <v>95</v>
      </c>
    </row>
    <row r="936" spans="5:6" x14ac:dyDescent="0.3">
      <c r="E936" s="38" t="s">
        <v>897</v>
      </c>
      <c r="F936" s="45" t="s">
        <v>95</v>
      </c>
    </row>
    <row r="937" spans="5:6" x14ac:dyDescent="0.3">
      <c r="E937" s="39" t="s">
        <v>898</v>
      </c>
      <c r="F937" s="46" t="s">
        <v>95</v>
      </c>
    </row>
    <row r="938" spans="5:6" x14ac:dyDescent="0.3">
      <c r="E938" s="38" t="s">
        <v>899</v>
      </c>
      <c r="F938" s="45" t="s">
        <v>95</v>
      </c>
    </row>
    <row r="939" spans="5:6" x14ac:dyDescent="0.3">
      <c r="E939" s="39" t="s">
        <v>383</v>
      </c>
      <c r="F939" s="46" t="s">
        <v>95</v>
      </c>
    </row>
    <row r="940" spans="5:6" x14ac:dyDescent="0.3">
      <c r="E940" s="38" t="s">
        <v>845</v>
      </c>
      <c r="F940" s="45" t="s">
        <v>95</v>
      </c>
    </row>
    <row r="941" spans="5:6" x14ac:dyDescent="0.3">
      <c r="E941" s="39" t="s">
        <v>385</v>
      </c>
      <c r="F941" s="46" t="s">
        <v>95</v>
      </c>
    </row>
    <row r="942" spans="5:6" x14ac:dyDescent="0.3">
      <c r="E942" s="38" t="s">
        <v>848</v>
      </c>
      <c r="F942" s="45" t="s">
        <v>95</v>
      </c>
    </row>
    <row r="943" spans="5:6" x14ac:dyDescent="0.3">
      <c r="E943" s="39" t="s">
        <v>900</v>
      </c>
      <c r="F943" s="46" t="s">
        <v>95</v>
      </c>
    </row>
    <row r="944" spans="5:6" x14ac:dyDescent="0.3">
      <c r="E944" s="38" t="s">
        <v>293</v>
      </c>
      <c r="F944" s="45" t="s">
        <v>95</v>
      </c>
    </row>
    <row r="945" spans="5:6" x14ac:dyDescent="0.3">
      <c r="E945" s="39" t="s">
        <v>294</v>
      </c>
      <c r="F945" s="46" t="s">
        <v>95</v>
      </c>
    </row>
    <row r="946" spans="5:6" x14ac:dyDescent="0.3">
      <c r="E946" s="38" t="s">
        <v>901</v>
      </c>
      <c r="F946" s="45" t="s">
        <v>95</v>
      </c>
    </row>
    <row r="947" spans="5:6" x14ac:dyDescent="0.3">
      <c r="E947" s="39" t="s">
        <v>801</v>
      </c>
      <c r="F947" s="46" t="s">
        <v>95</v>
      </c>
    </row>
    <row r="948" spans="5:6" x14ac:dyDescent="0.3">
      <c r="E948" s="38" t="s">
        <v>651</v>
      </c>
      <c r="F948" s="45" t="s">
        <v>95</v>
      </c>
    </row>
    <row r="949" spans="5:6" x14ac:dyDescent="0.3">
      <c r="E949" s="39" t="s">
        <v>297</v>
      </c>
      <c r="F949" s="46" t="s">
        <v>95</v>
      </c>
    </row>
    <row r="950" spans="5:6" x14ac:dyDescent="0.3">
      <c r="E950" s="38" t="s">
        <v>902</v>
      </c>
      <c r="F950" s="45" t="s">
        <v>95</v>
      </c>
    </row>
    <row r="951" spans="5:6" x14ac:dyDescent="0.3">
      <c r="E951" s="39" t="s">
        <v>903</v>
      </c>
      <c r="F951" s="46" t="s">
        <v>95</v>
      </c>
    </row>
    <row r="952" spans="5:6" x14ac:dyDescent="0.3">
      <c r="E952" s="38" t="s">
        <v>904</v>
      </c>
      <c r="F952" s="45" t="s">
        <v>95</v>
      </c>
    </row>
    <row r="953" spans="5:6" x14ac:dyDescent="0.3">
      <c r="E953" s="39" t="s">
        <v>905</v>
      </c>
      <c r="F953" s="46" t="s">
        <v>95</v>
      </c>
    </row>
    <row r="954" spans="5:6" x14ac:dyDescent="0.3">
      <c r="E954" s="38" t="s">
        <v>906</v>
      </c>
      <c r="F954" s="45" t="s">
        <v>95</v>
      </c>
    </row>
    <row r="955" spans="5:6" x14ac:dyDescent="0.3">
      <c r="E955" s="39" t="s">
        <v>907</v>
      </c>
      <c r="F955" s="46" t="s">
        <v>95</v>
      </c>
    </row>
    <row r="956" spans="5:6" x14ac:dyDescent="0.3">
      <c r="E956" s="38" t="s">
        <v>908</v>
      </c>
      <c r="F956" s="45" t="s">
        <v>95</v>
      </c>
    </row>
    <row r="957" spans="5:6" x14ac:dyDescent="0.3">
      <c r="E957" s="39" t="s">
        <v>909</v>
      </c>
      <c r="F957" s="46" t="s">
        <v>95</v>
      </c>
    </row>
    <row r="958" spans="5:6" x14ac:dyDescent="0.3">
      <c r="E958" s="38" t="s">
        <v>910</v>
      </c>
      <c r="F958" s="45" t="s">
        <v>95</v>
      </c>
    </row>
    <row r="959" spans="5:6" x14ac:dyDescent="0.3">
      <c r="E959" s="39" t="s">
        <v>911</v>
      </c>
      <c r="F959" s="46" t="s">
        <v>95</v>
      </c>
    </row>
    <row r="960" spans="5:6" x14ac:dyDescent="0.3">
      <c r="E960" s="38" t="s">
        <v>392</v>
      </c>
      <c r="F960" s="45" t="s">
        <v>95</v>
      </c>
    </row>
    <row r="961" spans="5:6" x14ac:dyDescent="0.3">
      <c r="E961" s="39" t="s">
        <v>912</v>
      </c>
      <c r="F961" s="46" t="s">
        <v>95</v>
      </c>
    </row>
    <row r="962" spans="5:6" x14ac:dyDescent="0.3">
      <c r="E962" s="38" t="s">
        <v>913</v>
      </c>
      <c r="F962" s="45" t="s">
        <v>95</v>
      </c>
    </row>
    <row r="963" spans="5:6" x14ac:dyDescent="0.3">
      <c r="E963" s="39" t="s">
        <v>914</v>
      </c>
      <c r="F963" s="46" t="s">
        <v>95</v>
      </c>
    </row>
    <row r="964" spans="5:6" x14ac:dyDescent="0.3">
      <c r="E964" s="38" t="s">
        <v>915</v>
      </c>
      <c r="F964" s="45" t="s">
        <v>95</v>
      </c>
    </row>
    <row r="965" spans="5:6" x14ac:dyDescent="0.3">
      <c r="E965" s="39" t="s">
        <v>916</v>
      </c>
      <c r="F965" s="46" t="s">
        <v>95</v>
      </c>
    </row>
    <row r="966" spans="5:6" x14ac:dyDescent="0.3">
      <c r="E966" s="38" t="s">
        <v>917</v>
      </c>
      <c r="F966" s="45" t="s">
        <v>95</v>
      </c>
    </row>
    <row r="967" spans="5:6" x14ac:dyDescent="0.3">
      <c r="E967" s="39" t="s">
        <v>918</v>
      </c>
      <c r="F967" s="46" t="s">
        <v>95</v>
      </c>
    </row>
    <row r="968" spans="5:6" x14ac:dyDescent="0.3">
      <c r="E968" s="38" t="s">
        <v>919</v>
      </c>
      <c r="F968" s="45" t="s">
        <v>95</v>
      </c>
    </row>
    <row r="969" spans="5:6" x14ac:dyDescent="0.3">
      <c r="E969" s="39" t="s">
        <v>809</v>
      </c>
      <c r="F969" s="46" t="s">
        <v>95</v>
      </c>
    </row>
    <row r="970" spans="5:6" x14ac:dyDescent="0.3">
      <c r="E970" s="38" t="s">
        <v>303</v>
      </c>
      <c r="F970" s="45" t="s">
        <v>95</v>
      </c>
    </row>
    <row r="971" spans="5:6" x14ac:dyDescent="0.3">
      <c r="E971" s="39" t="s">
        <v>399</v>
      </c>
      <c r="F971" s="46" t="s">
        <v>95</v>
      </c>
    </row>
    <row r="972" spans="5:6" x14ac:dyDescent="0.3">
      <c r="E972" s="38" t="s">
        <v>400</v>
      </c>
      <c r="F972" s="45" t="s">
        <v>95</v>
      </c>
    </row>
    <row r="973" spans="5:6" x14ac:dyDescent="0.3">
      <c r="E973" s="39" t="s">
        <v>517</v>
      </c>
      <c r="F973" s="46" t="s">
        <v>95</v>
      </c>
    </row>
    <row r="974" spans="5:6" x14ac:dyDescent="0.3">
      <c r="E974" s="38" t="s">
        <v>920</v>
      </c>
      <c r="F974" s="45" t="s">
        <v>95</v>
      </c>
    </row>
    <row r="975" spans="5:6" x14ac:dyDescent="0.3">
      <c r="E975" s="39" t="s">
        <v>921</v>
      </c>
      <c r="F975" s="46" t="s">
        <v>95</v>
      </c>
    </row>
    <row r="976" spans="5:6" x14ac:dyDescent="0.3">
      <c r="E976" s="38" t="s">
        <v>922</v>
      </c>
      <c r="F976" s="45" t="s">
        <v>95</v>
      </c>
    </row>
    <row r="977" spans="5:6" x14ac:dyDescent="0.3">
      <c r="E977" s="39" t="s">
        <v>923</v>
      </c>
      <c r="F977" s="46" t="s">
        <v>95</v>
      </c>
    </row>
    <row r="978" spans="5:6" x14ac:dyDescent="0.3">
      <c r="E978" s="38" t="s">
        <v>924</v>
      </c>
      <c r="F978" s="45" t="s">
        <v>95</v>
      </c>
    </row>
    <row r="979" spans="5:6" x14ac:dyDescent="0.3">
      <c r="E979" s="39" t="s">
        <v>925</v>
      </c>
      <c r="F979" s="46" t="s">
        <v>95</v>
      </c>
    </row>
    <row r="980" spans="5:6" x14ac:dyDescent="0.3">
      <c r="E980" s="38" t="s">
        <v>926</v>
      </c>
      <c r="F980" s="45" t="s">
        <v>95</v>
      </c>
    </row>
    <row r="981" spans="5:6" x14ac:dyDescent="0.3">
      <c r="E981" s="39" t="s">
        <v>927</v>
      </c>
      <c r="F981" s="46" t="s">
        <v>95</v>
      </c>
    </row>
    <row r="982" spans="5:6" x14ac:dyDescent="0.3">
      <c r="E982" s="38" t="s">
        <v>928</v>
      </c>
      <c r="F982" s="45" t="s">
        <v>95</v>
      </c>
    </row>
    <row r="983" spans="5:6" x14ac:dyDescent="0.3">
      <c r="E983" s="39" t="s">
        <v>673</v>
      </c>
      <c r="F983" s="46" t="s">
        <v>95</v>
      </c>
    </row>
    <row r="984" spans="5:6" x14ac:dyDescent="0.3">
      <c r="E984" s="38" t="s">
        <v>929</v>
      </c>
      <c r="F984" s="45" t="s">
        <v>95</v>
      </c>
    </row>
    <row r="985" spans="5:6" x14ac:dyDescent="0.3">
      <c r="E985" s="39" t="s">
        <v>930</v>
      </c>
      <c r="F985" s="46" t="s">
        <v>95</v>
      </c>
    </row>
    <row r="986" spans="5:6" x14ac:dyDescent="0.3">
      <c r="E986" s="38" t="s">
        <v>931</v>
      </c>
      <c r="F986" s="45" t="s">
        <v>95</v>
      </c>
    </row>
    <row r="987" spans="5:6" x14ac:dyDescent="0.3">
      <c r="E987" s="39" t="s">
        <v>311</v>
      </c>
      <c r="F987" s="46" t="s">
        <v>95</v>
      </c>
    </row>
    <row r="988" spans="5:6" x14ac:dyDescent="0.3">
      <c r="E988" s="38" t="s">
        <v>932</v>
      </c>
      <c r="F988" s="45" t="s">
        <v>95</v>
      </c>
    </row>
    <row r="989" spans="5:6" x14ac:dyDescent="0.3">
      <c r="E989" s="39" t="s">
        <v>933</v>
      </c>
      <c r="F989" s="46" t="s">
        <v>95</v>
      </c>
    </row>
    <row r="990" spans="5:6" x14ac:dyDescent="0.3">
      <c r="E990" s="38" t="s">
        <v>934</v>
      </c>
      <c r="F990" s="45" t="s">
        <v>95</v>
      </c>
    </row>
    <row r="991" spans="5:6" x14ac:dyDescent="0.3">
      <c r="E991" s="39" t="s">
        <v>935</v>
      </c>
      <c r="F991" s="46" t="s">
        <v>95</v>
      </c>
    </row>
    <row r="992" spans="5:6" x14ac:dyDescent="0.3">
      <c r="E992" s="38" t="s">
        <v>824</v>
      </c>
      <c r="F992" s="45" t="s">
        <v>94</v>
      </c>
    </row>
    <row r="993" spans="5:6" x14ac:dyDescent="0.3">
      <c r="E993" s="39" t="s">
        <v>783</v>
      </c>
      <c r="F993" s="46" t="s">
        <v>94</v>
      </c>
    </row>
    <row r="994" spans="5:6" x14ac:dyDescent="0.3">
      <c r="E994" s="38" t="s">
        <v>869</v>
      </c>
      <c r="F994" s="45" t="s">
        <v>94</v>
      </c>
    </row>
    <row r="995" spans="5:6" x14ac:dyDescent="0.3">
      <c r="E995" s="39" t="s">
        <v>936</v>
      </c>
      <c r="F995" s="46" t="s">
        <v>94</v>
      </c>
    </row>
    <row r="996" spans="5:6" x14ac:dyDescent="0.3">
      <c r="E996" s="38" t="s">
        <v>937</v>
      </c>
      <c r="F996" s="45" t="s">
        <v>94</v>
      </c>
    </row>
    <row r="997" spans="5:6" x14ac:dyDescent="0.3">
      <c r="E997" s="39" t="s">
        <v>938</v>
      </c>
      <c r="F997" s="46" t="s">
        <v>94</v>
      </c>
    </row>
    <row r="998" spans="5:6" x14ac:dyDescent="0.3">
      <c r="E998" s="38" t="s">
        <v>939</v>
      </c>
      <c r="F998" s="45" t="s">
        <v>94</v>
      </c>
    </row>
    <row r="999" spans="5:6" x14ac:dyDescent="0.3">
      <c r="E999" s="39" t="s">
        <v>358</v>
      </c>
      <c r="F999" s="46" t="s">
        <v>94</v>
      </c>
    </row>
    <row r="1000" spans="5:6" x14ac:dyDescent="0.3">
      <c r="E1000" s="38" t="s">
        <v>873</v>
      </c>
      <c r="F1000" s="45" t="s">
        <v>94</v>
      </c>
    </row>
    <row r="1001" spans="5:6" x14ac:dyDescent="0.3">
      <c r="E1001" s="39" t="s">
        <v>940</v>
      </c>
      <c r="F1001" s="46" t="s">
        <v>94</v>
      </c>
    </row>
    <row r="1002" spans="5:6" x14ac:dyDescent="0.3">
      <c r="E1002" s="38" t="s">
        <v>941</v>
      </c>
      <c r="F1002" s="45" t="s">
        <v>94</v>
      </c>
    </row>
    <row r="1003" spans="5:6" x14ac:dyDescent="0.3">
      <c r="E1003" s="39" t="s">
        <v>942</v>
      </c>
      <c r="F1003" s="46" t="s">
        <v>94</v>
      </c>
    </row>
    <row r="1004" spans="5:6" x14ac:dyDescent="0.3">
      <c r="E1004" s="38" t="s">
        <v>943</v>
      </c>
      <c r="F1004" s="45" t="s">
        <v>94</v>
      </c>
    </row>
    <row r="1005" spans="5:6" x14ac:dyDescent="0.3">
      <c r="E1005" s="39" t="s">
        <v>944</v>
      </c>
      <c r="F1005" s="46" t="s">
        <v>94</v>
      </c>
    </row>
    <row r="1006" spans="5:6" x14ac:dyDescent="0.3">
      <c r="E1006" s="38" t="s">
        <v>945</v>
      </c>
      <c r="F1006" s="45" t="s">
        <v>94</v>
      </c>
    </row>
    <row r="1007" spans="5:6" x14ac:dyDescent="0.3">
      <c r="E1007" s="39" t="s">
        <v>253</v>
      </c>
      <c r="F1007" s="46" t="s">
        <v>94</v>
      </c>
    </row>
    <row r="1008" spans="5:6" x14ac:dyDescent="0.3">
      <c r="E1008" s="38" t="s">
        <v>946</v>
      </c>
      <c r="F1008" s="45" t="s">
        <v>94</v>
      </c>
    </row>
    <row r="1009" spans="5:6" x14ac:dyDescent="0.3">
      <c r="E1009" s="39" t="s">
        <v>947</v>
      </c>
      <c r="F1009" s="46" t="s">
        <v>94</v>
      </c>
    </row>
    <row r="1010" spans="5:6" x14ac:dyDescent="0.3">
      <c r="E1010" s="38" t="s">
        <v>948</v>
      </c>
      <c r="F1010" s="45" t="s">
        <v>94</v>
      </c>
    </row>
    <row r="1011" spans="5:6" x14ac:dyDescent="0.3">
      <c r="E1011" s="39" t="s">
        <v>949</v>
      </c>
      <c r="F1011" s="46" t="s">
        <v>94</v>
      </c>
    </row>
    <row r="1012" spans="5:6" x14ac:dyDescent="0.3">
      <c r="E1012" s="38" t="s">
        <v>360</v>
      </c>
      <c r="F1012" s="45" t="s">
        <v>94</v>
      </c>
    </row>
    <row r="1013" spans="5:6" x14ac:dyDescent="0.3">
      <c r="E1013" s="39" t="s">
        <v>950</v>
      </c>
      <c r="F1013" s="46" t="s">
        <v>94</v>
      </c>
    </row>
    <row r="1014" spans="5:6" x14ac:dyDescent="0.3">
      <c r="E1014" s="38" t="s">
        <v>951</v>
      </c>
      <c r="F1014" s="45" t="s">
        <v>94</v>
      </c>
    </row>
    <row r="1015" spans="5:6" x14ac:dyDescent="0.3">
      <c r="E1015" s="39" t="s">
        <v>735</v>
      </c>
      <c r="F1015" s="46" t="s">
        <v>94</v>
      </c>
    </row>
    <row r="1016" spans="5:6" x14ac:dyDescent="0.3">
      <c r="E1016" s="38" t="s">
        <v>362</v>
      </c>
      <c r="F1016" s="45" t="s">
        <v>94</v>
      </c>
    </row>
    <row r="1017" spans="5:6" x14ac:dyDescent="0.3">
      <c r="E1017" s="39" t="s">
        <v>260</v>
      </c>
      <c r="F1017" s="46" t="s">
        <v>94</v>
      </c>
    </row>
    <row r="1018" spans="5:6" x14ac:dyDescent="0.3">
      <c r="E1018" s="38" t="s">
        <v>736</v>
      </c>
      <c r="F1018" s="45" t="s">
        <v>94</v>
      </c>
    </row>
    <row r="1019" spans="5:6" x14ac:dyDescent="0.3">
      <c r="E1019" s="39" t="s">
        <v>368</v>
      </c>
      <c r="F1019" s="46" t="s">
        <v>94</v>
      </c>
    </row>
    <row r="1020" spans="5:6" x14ac:dyDescent="0.3">
      <c r="E1020" s="38" t="s">
        <v>738</v>
      </c>
      <c r="F1020" s="45" t="s">
        <v>94</v>
      </c>
    </row>
    <row r="1021" spans="5:6" x14ac:dyDescent="0.3">
      <c r="E1021" s="39" t="s">
        <v>786</v>
      </c>
      <c r="F1021" s="46" t="s">
        <v>94</v>
      </c>
    </row>
    <row r="1022" spans="5:6" x14ac:dyDescent="0.3">
      <c r="E1022" s="38" t="s">
        <v>952</v>
      </c>
      <c r="F1022" s="45" t="s">
        <v>94</v>
      </c>
    </row>
    <row r="1023" spans="5:6" x14ac:dyDescent="0.3">
      <c r="E1023" s="39" t="s">
        <v>953</v>
      </c>
      <c r="F1023" s="46" t="s">
        <v>94</v>
      </c>
    </row>
    <row r="1024" spans="5:6" x14ac:dyDescent="0.3">
      <c r="E1024" s="38" t="s">
        <v>954</v>
      </c>
      <c r="F1024" s="45" t="s">
        <v>94</v>
      </c>
    </row>
    <row r="1025" spans="5:6" x14ac:dyDescent="0.3">
      <c r="E1025" s="39" t="s">
        <v>275</v>
      </c>
      <c r="F1025" s="46" t="s">
        <v>94</v>
      </c>
    </row>
    <row r="1026" spans="5:6" x14ac:dyDescent="0.3">
      <c r="E1026" s="38" t="s">
        <v>955</v>
      </c>
      <c r="F1026" s="45" t="s">
        <v>94</v>
      </c>
    </row>
    <row r="1027" spans="5:6" x14ac:dyDescent="0.3">
      <c r="E1027" s="39" t="s">
        <v>624</v>
      </c>
      <c r="F1027" s="46" t="s">
        <v>94</v>
      </c>
    </row>
    <row r="1028" spans="5:6" x14ac:dyDescent="0.3">
      <c r="E1028" s="38" t="s">
        <v>276</v>
      </c>
      <c r="F1028" s="45" t="s">
        <v>94</v>
      </c>
    </row>
    <row r="1029" spans="5:6" x14ac:dyDescent="0.3">
      <c r="E1029" s="39" t="s">
        <v>373</v>
      </c>
      <c r="F1029" s="46" t="s">
        <v>94</v>
      </c>
    </row>
    <row r="1030" spans="5:6" x14ac:dyDescent="0.3">
      <c r="E1030" s="38" t="s">
        <v>744</v>
      </c>
      <c r="F1030" s="45" t="s">
        <v>94</v>
      </c>
    </row>
    <row r="1031" spans="5:6" x14ac:dyDescent="0.3">
      <c r="E1031" s="39" t="s">
        <v>956</v>
      </c>
      <c r="F1031" s="46" t="s">
        <v>94</v>
      </c>
    </row>
    <row r="1032" spans="5:6" x14ac:dyDescent="0.3">
      <c r="E1032" s="38" t="s">
        <v>375</v>
      </c>
      <c r="F1032" s="45" t="s">
        <v>94</v>
      </c>
    </row>
    <row r="1033" spans="5:6" x14ac:dyDescent="0.3">
      <c r="E1033" s="39" t="s">
        <v>957</v>
      </c>
      <c r="F1033" s="46" t="s">
        <v>94</v>
      </c>
    </row>
    <row r="1034" spans="5:6" x14ac:dyDescent="0.3">
      <c r="E1034" s="38" t="s">
        <v>958</v>
      </c>
      <c r="F1034" s="45" t="s">
        <v>94</v>
      </c>
    </row>
    <row r="1035" spans="5:6" x14ac:dyDescent="0.3">
      <c r="E1035" s="39" t="s">
        <v>959</v>
      </c>
      <c r="F1035" s="46" t="s">
        <v>94</v>
      </c>
    </row>
    <row r="1036" spans="5:6" x14ac:dyDescent="0.3">
      <c r="E1036" s="38" t="s">
        <v>960</v>
      </c>
      <c r="F1036" s="45" t="s">
        <v>94</v>
      </c>
    </row>
    <row r="1037" spans="5:6" x14ac:dyDescent="0.3">
      <c r="E1037" s="39" t="s">
        <v>634</v>
      </c>
      <c r="F1037" s="46" t="s">
        <v>94</v>
      </c>
    </row>
    <row r="1038" spans="5:6" x14ac:dyDescent="0.3">
      <c r="E1038" s="38" t="s">
        <v>746</v>
      </c>
      <c r="F1038" s="45" t="s">
        <v>94</v>
      </c>
    </row>
    <row r="1039" spans="5:6" x14ac:dyDescent="0.3">
      <c r="E1039" s="39" t="s">
        <v>961</v>
      </c>
      <c r="F1039" s="46" t="s">
        <v>94</v>
      </c>
    </row>
    <row r="1040" spans="5:6" x14ac:dyDescent="0.3">
      <c r="E1040" s="38" t="s">
        <v>793</v>
      </c>
      <c r="F1040" s="45" t="s">
        <v>94</v>
      </c>
    </row>
    <row r="1041" spans="5:6" x14ac:dyDescent="0.3">
      <c r="E1041" s="39" t="s">
        <v>637</v>
      </c>
      <c r="F1041" s="46" t="s">
        <v>94</v>
      </c>
    </row>
    <row r="1042" spans="5:6" x14ac:dyDescent="0.3">
      <c r="E1042" s="38" t="s">
        <v>747</v>
      </c>
      <c r="F1042" s="45" t="s">
        <v>94</v>
      </c>
    </row>
    <row r="1043" spans="5:6" x14ac:dyDescent="0.3">
      <c r="E1043" s="39" t="s">
        <v>280</v>
      </c>
      <c r="F1043" s="46" t="s">
        <v>94</v>
      </c>
    </row>
    <row r="1044" spans="5:6" x14ac:dyDescent="0.3">
      <c r="E1044" s="38" t="s">
        <v>962</v>
      </c>
      <c r="F1044" s="45" t="s">
        <v>94</v>
      </c>
    </row>
    <row r="1045" spans="5:6" x14ac:dyDescent="0.3">
      <c r="E1045" s="39" t="s">
        <v>963</v>
      </c>
      <c r="F1045" s="46" t="s">
        <v>94</v>
      </c>
    </row>
    <row r="1046" spans="5:6" x14ac:dyDescent="0.3">
      <c r="E1046" s="38" t="s">
        <v>282</v>
      </c>
      <c r="F1046" s="45" t="s">
        <v>94</v>
      </c>
    </row>
    <row r="1047" spans="5:6" x14ac:dyDescent="0.3">
      <c r="E1047" s="39" t="s">
        <v>283</v>
      </c>
      <c r="F1047" s="46" t="s">
        <v>94</v>
      </c>
    </row>
    <row r="1048" spans="5:6" x14ac:dyDescent="0.3">
      <c r="E1048" s="38" t="s">
        <v>964</v>
      </c>
      <c r="F1048" s="45" t="s">
        <v>94</v>
      </c>
    </row>
    <row r="1049" spans="5:6" x14ac:dyDescent="0.3">
      <c r="E1049" s="39" t="s">
        <v>381</v>
      </c>
      <c r="F1049" s="46" t="s">
        <v>94</v>
      </c>
    </row>
    <row r="1050" spans="5:6" x14ac:dyDescent="0.3">
      <c r="E1050" s="38" t="s">
        <v>965</v>
      </c>
      <c r="F1050" s="45" t="s">
        <v>94</v>
      </c>
    </row>
    <row r="1051" spans="5:6" x14ac:dyDescent="0.3">
      <c r="E1051" s="39" t="s">
        <v>966</v>
      </c>
      <c r="F1051" s="46" t="s">
        <v>94</v>
      </c>
    </row>
    <row r="1052" spans="5:6" x14ac:dyDescent="0.3">
      <c r="E1052" s="38" t="s">
        <v>754</v>
      </c>
      <c r="F1052" s="45" t="s">
        <v>94</v>
      </c>
    </row>
    <row r="1053" spans="5:6" x14ac:dyDescent="0.3">
      <c r="E1053" s="39" t="s">
        <v>967</v>
      </c>
      <c r="F1053" s="46" t="s">
        <v>94</v>
      </c>
    </row>
    <row r="1054" spans="5:6" x14ac:dyDescent="0.3">
      <c r="E1054" s="38" t="s">
        <v>968</v>
      </c>
      <c r="F1054" s="45" t="s">
        <v>94</v>
      </c>
    </row>
    <row r="1055" spans="5:6" x14ac:dyDescent="0.3">
      <c r="E1055" s="39" t="s">
        <v>286</v>
      </c>
      <c r="F1055" s="46" t="s">
        <v>94</v>
      </c>
    </row>
    <row r="1056" spans="5:6" x14ac:dyDescent="0.3">
      <c r="E1056" s="38" t="s">
        <v>287</v>
      </c>
      <c r="F1056" s="45" t="s">
        <v>94</v>
      </c>
    </row>
    <row r="1057" spans="5:6" x14ac:dyDescent="0.3">
      <c r="E1057" s="39" t="s">
        <v>969</v>
      </c>
      <c r="F1057" s="46" t="s">
        <v>94</v>
      </c>
    </row>
    <row r="1058" spans="5:6" x14ac:dyDescent="0.3">
      <c r="E1058" s="38" t="s">
        <v>970</v>
      </c>
      <c r="F1058" s="45" t="s">
        <v>94</v>
      </c>
    </row>
    <row r="1059" spans="5:6" x14ac:dyDescent="0.3">
      <c r="E1059" s="39" t="s">
        <v>718</v>
      </c>
      <c r="F1059" s="46" t="s">
        <v>94</v>
      </c>
    </row>
    <row r="1060" spans="5:6" x14ac:dyDescent="0.3">
      <c r="E1060" s="38" t="s">
        <v>383</v>
      </c>
      <c r="F1060" s="45" t="s">
        <v>94</v>
      </c>
    </row>
    <row r="1061" spans="5:6" x14ac:dyDescent="0.3">
      <c r="E1061" s="39" t="s">
        <v>756</v>
      </c>
      <c r="F1061" s="46" t="s">
        <v>94</v>
      </c>
    </row>
    <row r="1062" spans="5:6" x14ac:dyDescent="0.3">
      <c r="E1062" s="38" t="s">
        <v>385</v>
      </c>
      <c r="F1062" s="45" t="s">
        <v>94</v>
      </c>
    </row>
    <row r="1063" spans="5:6" x14ac:dyDescent="0.3">
      <c r="E1063" s="39" t="s">
        <v>848</v>
      </c>
      <c r="F1063" s="46" t="s">
        <v>94</v>
      </c>
    </row>
    <row r="1064" spans="5:6" x14ac:dyDescent="0.3">
      <c r="E1064" s="38" t="s">
        <v>971</v>
      </c>
      <c r="F1064" s="45" t="s">
        <v>94</v>
      </c>
    </row>
    <row r="1065" spans="5:6" x14ac:dyDescent="0.3">
      <c r="E1065" s="39" t="s">
        <v>972</v>
      </c>
      <c r="F1065" s="46" t="s">
        <v>94</v>
      </c>
    </row>
    <row r="1066" spans="5:6" x14ac:dyDescent="0.3">
      <c r="E1066" s="38" t="s">
        <v>759</v>
      </c>
      <c r="F1066" s="45" t="s">
        <v>94</v>
      </c>
    </row>
    <row r="1067" spans="5:6" x14ac:dyDescent="0.3">
      <c r="E1067" s="39" t="s">
        <v>291</v>
      </c>
      <c r="F1067" s="46" t="s">
        <v>94</v>
      </c>
    </row>
    <row r="1068" spans="5:6" x14ac:dyDescent="0.3">
      <c r="E1068" s="38" t="s">
        <v>973</v>
      </c>
      <c r="F1068" s="45" t="s">
        <v>94</v>
      </c>
    </row>
    <row r="1069" spans="5:6" x14ac:dyDescent="0.3">
      <c r="E1069" s="39" t="s">
        <v>293</v>
      </c>
      <c r="F1069" s="46" t="s">
        <v>94</v>
      </c>
    </row>
    <row r="1070" spans="5:6" x14ac:dyDescent="0.3">
      <c r="E1070" s="38" t="s">
        <v>294</v>
      </c>
      <c r="F1070" s="45" t="s">
        <v>94</v>
      </c>
    </row>
    <row r="1071" spans="5:6" x14ac:dyDescent="0.3">
      <c r="E1071" s="39" t="s">
        <v>564</v>
      </c>
      <c r="F1071" s="46" t="s">
        <v>94</v>
      </c>
    </row>
    <row r="1072" spans="5:6" x14ac:dyDescent="0.3">
      <c r="E1072" s="38" t="s">
        <v>761</v>
      </c>
      <c r="F1072" s="45" t="s">
        <v>94</v>
      </c>
    </row>
    <row r="1073" spans="5:6" x14ac:dyDescent="0.3">
      <c r="E1073" s="39" t="s">
        <v>901</v>
      </c>
      <c r="F1073" s="46" t="s">
        <v>94</v>
      </c>
    </row>
    <row r="1074" spans="5:6" x14ac:dyDescent="0.3">
      <c r="E1074" s="38" t="s">
        <v>974</v>
      </c>
      <c r="F1074" s="45" t="s">
        <v>94</v>
      </c>
    </row>
    <row r="1075" spans="5:6" x14ac:dyDescent="0.3">
      <c r="E1075" s="39" t="s">
        <v>764</v>
      </c>
      <c r="F1075" s="46" t="s">
        <v>94</v>
      </c>
    </row>
    <row r="1076" spans="5:6" x14ac:dyDescent="0.3">
      <c r="E1076" s="38" t="s">
        <v>975</v>
      </c>
      <c r="F1076" s="45" t="s">
        <v>94</v>
      </c>
    </row>
    <row r="1077" spans="5:6" x14ac:dyDescent="0.3">
      <c r="E1077" s="39" t="s">
        <v>296</v>
      </c>
      <c r="F1077" s="46" t="s">
        <v>94</v>
      </c>
    </row>
    <row r="1078" spans="5:6" x14ac:dyDescent="0.3">
      <c r="E1078" s="38" t="s">
        <v>297</v>
      </c>
      <c r="F1078" s="45" t="s">
        <v>94</v>
      </c>
    </row>
    <row r="1079" spans="5:6" x14ac:dyDescent="0.3">
      <c r="E1079" s="39" t="s">
        <v>298</v>
      </c>
      <c r="F1079" s="46" t="s">
        <v>94</v>
      </c>
    </row>
    <row r="1080" spans="5:6" x14ac:dyDescent="0.3">
      <c r="E1080" s="38" t="s">
        <v>976</v>
      </c>
      <c r="F1080" s="45" t="s">
        <v>94</v>
      </c>
    </row>
    <row r="1081" spans="5:6" x14ac:dyDescent="0.3">
      <c r="E1081" s="39" t="s">
        <v>977</v>
      </c>
      <c r="F1081" s="46" t="s">
        <v>94</v>
      </c>
    </row>
    <row r="1082" spans="5:6" x14ac:dyDescent="0.3">
      <c r="E1082" s="38" t="s">
        <v>978</v>
      </c>
      <c r="F1082" s="45" t="s">
        <v>94</v>
      </c>
    </row>
    <row r="1083" spans="5:6" x14ac:dyDescent="0.3">
      <c r="E1083" s="39" t="s">
        <v>803</v>
      </c>
      <c r="F1083" s="46" t="s">
        <v>94</v>
      </c>
    </row>
    <row r="1084" spans="5:6" x14ac:dyDescent="0.3">
      <c r="E1084" s="38" t="s">
        <v>979</v>
      </c>
      <c r="F1084" s="45" t="s">
        <v>94</v>
      </c>
    </row>
    <row r="1085" spans="5:6" x14ac:dyDescent="0.3">
      <c r="E1085" s="39" t="s">
        <v>804</v>
      </c>
      <c r="F1085" s="46" t="s">
        <v>94</v>
      </c>
    </row>
    <row r="1086" spans="5:6" x14ac:dyDescent="0.3">
      <c r="E1086" s="38" t="s">
        <v>980</v>
      </c>
      <c r="F1086" s="45" t="s">
        <v>94</v>
      </c>
    </row>
    <row r="1087" spans="5:6" x14ac:dyDescent="0.3">
      <c r="E1087" s="39" t="s">
        <v>981</v>
      </c>
      <c r="F1087" s="46" t="s">
        <v>94</v>
      </c>
    </row>
    <row r="1088" spans="5:6" x14ac:dyDescent="0.3">
      <c r="E1088" s="38" t="s">
        <v>299</v>
      </c>
      <c r="F1088" s="45" t="s">
        <v>94</v>
      </c>
    </row>
    <row r="1089" spans="5:6" x14ac:dyDescent="0.3">
      <c r="E1089" s="39" t="s">
        <v>301</v>
      </c>
      <c r="F1089" s="46" t="s">
        <v>94</v>
      </c>
    </row>
    <row r="1090" spans="5:6" x14ac:dyDescent="0.3">
      <c r="E1090" s="38" t="s">
        <v>982</v>
      </c>
      <c r="F1090" s="45" t="s">
        <v>94</v>
      </c>
    </row>
    <row r="1091" spans="5:6" x14ac:dyDescent="0.3">
      <c r="E1091" s="39" t="s">
        <v>397</v>
      </c>
      <c r="F1091" s="46" t="s">
        <v>94</v>
      </c>
    </row>
    <row r="1092" spans="5:6" x14ac:dyDescent="0.3">
      <c r="E1092" s="38" t="s">
        <v>983</v>
      </c>
      <c r="F1092" s="45" t="s">
        <v>94</v>
      </c>
    </row>
    <row r="1093" spans="5:6" x14ac:dyDescent="0.3">
      <c r="E1093" s="39" t="s">
        <v>984</v>
      </c>
      <c r="F1093" s="46" t="s">
        <v>94</v>
      </c>
    </row>
    <row r="1094" spans="5:6" x14ac:dyDescent="0.3">
      <c r="E1094" s="38" t="s">
        <v>985</v>
      </c>
      <c r="F1094" s="45" t="s">
        <v>94</v>
      </c>
    </row>
    <row r="1095" spans="5:6" x14ac:dyDescent="0.3">
      <c r="E1095" s="39" t="s">
        <v>303</v>
      </c>
      <c r="F1095" s="46" t="s">
        <v>94</v>
      </c>
    </row>
    <row r="1096" spans="5:6" x14ac:dyDescent="0.3">
      <c r="E1096" s="38" t="s">
        <v>400</v>
      </c>
      <c r="F1096" s="45" t="s">
        <v>94</v>
      </c>
    </row>
    <row r="1097" spans="5:6" x14ac:dyDescent="0.3">
      <c r="E1097" s="39" t="s">
        <v>305</v>
      </c>
      <c r="F1097" s="46" t="s">
        <v>94</v>
      </c>
    </row>
    <row r="1098" spans="5:6" x14ac:dyDescent="0.3">
      <c r="E1098" s="38" t="s">
        <v>986</v>
      </c>
      <c r="F1098" s="45" t="s">
        <v>94</v>
      </c>
    </row>
    <row r="1099" spans="5:6" x14ac:dyDescent="0.3">
      <c r="E1099" s="39" t="s">
        <v>811</v>
      </c>
      <c r="F1099" s="46" t="s">
        <v>94</v>
      </c>
    </row>
    <row r="1100" spans="5:6" x14ac:dyDescent="0.3">
      <c r="E1100" s="38" t="s">
        <v>579</v>
      </c>
      <c r="F1100" s="45" t="s">
        <v>94</v>
      </c>
    </row>
    <row r="1101" spans="5:6" x14ac:dyDescent="0.3">
      <c r="E1101" s="39" t="s">
        <v>987</v>
      </c>
      <c r="F1101" s="46" t="s">
        <v>94</v>
      </c>
    </row>
    <row r="1102" spans="5:6" x14ac:dyDescent="0.3">
      <c r="E1102" s="38" t="s">
        <v>988</v>
      </c>
      <c r="F1102" s="45" t="s">
        <v>94</v>
      </c>
    </row>
    <row r="1103" spans="5:6" x14ac:dyDescent="0.3">
      <c r="E1103" s="39" t="s">
        <v>989</v>
      </c>
      <c r="F1103" s="46" t="s">
        <v>94</v>
      </c>
    </row>
    <row r="1104" spans="5:6" x14ac:dyDescent="0.3">
      <c r="E1104" s="38" t="s">
        <v>406</v>
      </c>
      <c r="F1104" s="45" t="s">
        <v>94</v>
      </c>
    </row>
    <row r="1105" spans="5:6" x14ac:dyDescent="0.3">
      <c r="E1105" s="39" t="s">
        <v>683</v>
      </c>
      <c r="F1105" s="46" t="s">
        <v>94</v>
      </c>
    </row>
    <row r="1106" spans="5:6" x14ac:dyDescent="0.3">
      <c r="E1106" s="38" t="s">
        <v>311</v>
      </c>
      <c r="F1106" s="45" t="s">
        <v>94</v>
      </c>
    </row>
    <row r="1107" spans="5:6" x14ac:dyDescent="0.3">
      <c r="E1107" s="39" t="s">
        <v>684</v>
      </c>
      <c r="F1107" s="46" t="s">
        <v>94</v>
      </c>
    </row>
    <row r="1108" spans="5:6" x14ac:dyDescent="0.3">
      <c r="E1108" s="38" t="s">
        <v>685</v>
      </c>
      <c r="F1108" s="45" t="s">
        <v>94</v>
      </c>
    </row>
    <row r="1109" spans="5:6" x14ac:dyDescent="0.3">
      <c r="E1109" s="39" t="s">
        <v>823</v>
      </c>
      <c r="F1109" s="46" t="s">
        <v>94</v>
      </c>
    </row>
    <row r="1110" spans="5:6" x14ac:dyDescent="0.3">
      <c r="E1110" s="38" t="s">
        <v>990</v>
      </c>
      <c r="F1110" s="45" t="s">
        <v>94</v>
      </c>
    </row>
    <row r="1111" spans="5:6" x14ac:dyDescent="0.3">
      <c r="E1111" s="39" t="s">
        <v>782</v>
      </c>
      <c r="F1111" s="46" t="s">
        <v>94</v>
      </c>
    </row>
    <row r="1112" spans="5:6" x14ac:dyDescent="0.3">
      <c r="E1112" s="38" t="s">
        <v>991</v>
      </c>
      <c r="F1112" s="45" t="s">
        <v>93</v>
      </c>
    </row>
    <row r="1113" spans="5:6" x14ac:dyDescent="0.3">
      <c r="E1113" s="39" t="s">
        <v>992</v>
      </c>
      <c r="F1113" s="46" t="s">
        <v>93</v>
      </c>
    </row>
    <row r="1114" spans="5:6" x14ac:dyDescent="0.3">
      <c r="E1114" s="38" t="s">
        <v>993</v>
      </c>
      <c r="F1114" s="45" t="s">
        <v>93</v>
      </c>
    </row>
    <row r="1115" spans="5:6" x14ac:dyDescent="0.3">
      <c r="E1115" s="39" t="s">
        <v>994</v>
      </c>
      <c r="F1115" s="46" t="s">
        <v>93</v>
      </c>
    </row>
    <row r="1116" spans="5:6" x14ac:dyDescent="0.3">
      <c r="E1116" s="38" t="s">
        <v>995</v>
      </c>
      <c r="F1116" s="45" t="s">
        <v>93</v>
      </c>
    </row>
    <row r="1117" spans="5:6" x14ac:dyDescent="0.3">
      <c r="E1117" s="39" t="s">
        <v>996</v>
      </c>
      <c r="F1117" s="46" t="s">
        <v>93</v>
      </c>
    </row>
    <row r="1118" spans="5:6" x14ac:dyDescent="0.3">
      <c r="E1118" s="38" t="s">
        <v>997</v>
      </c>
      <c r="F1118" s="45" t="s">
        <v>93</v>
      </c>
    </row>
    <row r="1119" spans="5:6" x14ac:dyDescent="0.3">
      <c r="E1119" s="39" t="s">
        <v>998</v>
      </c>
      <c r="F1119" s="46" t="s">
        <v>93</v>
      </c>
    </row>
    <row r="1120" spans="5:6" x14ac:dyDescent="0.3">
      <c r="E1120" s="38" t="s">
        <v>999</v>
      </c>
      <c r="F1120" s="45" t="s">
        <v>93</v>
      </c>
    </row>
    <row r="1121" spans="5:6" x14ac:dyDescent="0.3">
      <c r="E1121" s="39" t="s">
        <v>1000</v>
      </c>
      <c r="F1121" s="46" t="s">
        <v>93</v>
      </c>
    </row>
    <row r="1122" spans="5:6" x14ac:dyDescent="0.3">
      <c r="E1122" s="38" t="s">
        <v>1001</v>
      </c>
      <c r="F1122" s="45" t="s">
        <v>93</v>
      </c>
    </row>
    <row r="1123" spans="5:6" x14ac:dyDescent="0.3">
      <c r="E1123" s="39" t="s">
        <v>1002</v>
      </c>
      <c r="F1123" s="46" t="s">
        <v>93</v>
      </c>
    </row>
    <row r="1124" spans="5:6" x14ac:dyDescent="0.3">
      <c r="E1124" s="38" t="s">
        <v>1003</v>
      </c>
      <c r="F1124" s="45" t="s">
        <v>93</v>
      </c>
    </row>
    <row r="1125" spans="5:6" x14ac:dyDescent="0.3">
      <c r="E1125" s="39" t="s">
        <v>1004</v>
      </c>
      <c r="F1125" s="46" t="s">
        <v>93</v>
      </c>
    </row>
    <row r="1126" spans="5:6" x14ac:dyDescent="0.3">
      <c r="E1126" s="38" t="s">
        <v>1005</v>
      </c>
      <c r="F1126" s="45" t="s">
        <v>93</v>
      </c>
    </row>
    <row r="1127" spans="5:6" x14ac:dyDescent="0.3">
      <c r="E1127" s="39" t="s">
        <v>1006</v>
      </c>
      <c r="F1127" s="46" t="s">
        <v>93</v>
      </c>
    </row>
    <row r="1128" spans="5:6" x14ac:dyDescent="0.3">
      <c r="E1128" s="38" t="s">
        <v>1007</v>
      </c>
      <c r="F1128" s="45" t="s">
        <v>93</v>
      </c>
    </row>
    <row r="1129" spans="5:6" x14ac:dyDescent="0.3">
      <c r="E1129" s="39" t="s">
        <v>1008</v>
      </c>
      <c r="F1129" s="46" t="s">
        <v>93</v>
      </c>
    </row>
    <row r="1130" spans="5:6" x14ac:dyDescent="0.3">
      <c r="E1130" s="38" t="s">
        <v>1009</v>
      </c>
      <c r="F1130" s="45" t="s">
        <v>93</v>
      </c>
    </row>
    <row r="1131" spans="5:6" x14ac:dyDescent="0.3">
      <c r="E1131" s="39" t="s">
        <v>1010</v>
      </c>
      <c r="F1131" s="46" t="s">
        <v>93</v>
      </c>
    </row>
    <row r="1132" spans="5:6" x14ac:dyDescent="0.3">
      <c r="E1132" s="38" t="s">
        <v>1011</v>
      </c>
      <c r="F1132" s="45" t="s">
        <v>93</v>
      </c>
    </row>
    <row r="1133" spans="5:6" x14ac:dyDescent="0.3">
      <c r="E1133" s="39" t="s">
        <v>1012</v>
      </c>
      <c r="F1133" s="46" t="s">
        <v>93</v>
      </c>
    </row>
    <row r="1134" spans="5:6" x14ac:dyDescent="0.3">
      <c r="E1134" s="38" t="s">
        <v>1013</v>
      </c>
      <c r="F1134" s="45" t="s">
        <v>93</v>
      </c>
    </row>
    <row r="1135" spans="5:6" x14ac:dyDescent="0.3">
      <c r="E1135" s="39" t="s">
        <v>1014</v>
      </c>
      <c r="F1135" s="46" t="s">
        <v>93</v>
      </c>
    </row>
    <row r="1136" spans="5:6" x14ac:dyDescent="0.3">
      <c r="E1136" s="38" t="s">
        <v>1015</v>
      </c>
      <c r="F1136" s="45" t="s">
        <v>93</v>
      </c>
    </row>
    <row r="1137" spans="5:6" x14ac:dyDescent="0.3">
      <c r="E1137" s="39" t="s">
        <v>1016</v>
      </c>
      <c r="F1137" s="46" t="s">
        <v>93</v>
      </c>
    </row>
    <row r="1138" spans="5:6" x14ac:dyDescent="0.3">
      <c r="E1138" s="38" t="s">
        <v>1017</v>
      </c>
      <c r="F1138" s="45" t="s">
        <v>93</v>
      </c>
    </row>
    <row r="1139" spans="5:6" x14ac:dyDescent="0.3">
      <c r="E1139" s="39" t="s">
        <v>1018</v>
      </c>
      <c r="F1139" s="46" t="s">
        <v>93</v>
      </c>
    </row>
    <row r="1140" spans="5:6" x14ac:dyDescent="0.3">
      <c r="E1140" s="38" t="s">
        <v>1019</v>
      </c>
      <c r="F1140" s="45" t="s">
        <v>93</v>
      </c>
    </row>
    <row r="1141" spans="5:6" x14ac:dyDescent="0.3">
      <c r="E1141" s="39" t="s">
        <v>1020</v>
      </c>
      <c r="F1141" s="46" t="s">
        <v>93</v>
      </c>
    </row>
    <row r="1142" spans="5:6" x14ac:dyDescent="0.3">
      <c r="E1142" s="38" t="s">
        <v>1021</v>
      </c>
      <c r="F1142" s="45" t="s">
        <v>93</v>
      </c>
    </row>
    <row r="1143" spans="5:6" x14ac:dyDescent="0.3">
      <c r="E1143" s="39" t="s">
        <v>1022</v>
      </c>
      <c r="F1143" s="46" t="s">
        <v>93</v>
      </c>
    </row>
    <row r="1144" spans="5:6" x14ac:dyDescent="0.3">
      <c r="E1144" s="38" t="s">
        <v>1023</v>
      </c>
      <c r="F1144" s="45" t="s">
        <v>93</v>
      </c>
    </row>
    <row r="1145" spans="5:6" x14ac:dyDescent="0.3">
      <c r="E1145" s="39" t="s">
        <v>1024</v>
      </c>
      <c r="F1145" s="46" t="s">
        <v>93</v>
      </c>
    </row>
    <row r="1146" spans="5:6" x14ac:dyDescent="0.3">
      <c r="E1146" s="38" t="s">
        <v>1025</v>
      </c>
      <c r="F1146" s="45" t="s">
        <v>93</v>
      </c>
    </row>
    <row r="1147" spans="5:6" x14ac:dyDescent="0.3">
      <c r="E1147" s="39" t="s">
        <v>1026</v>
      </c>
      <c r="F1147" s="46" t="s">
        <v>93</v>
      </c>
    </row>
    <row r="1148" spans="5:6" x14ac:dyDescent="0.3">
      <c r="E1148" s="38" t="s">
        <v>1027</v>
      </c>
      <c r="F1148" s="45" t="s">
        <v>93</v>
      </c>
    </row>
    <row r="1149" spans="5:6" x14ac:dyDescent="0.3">
      <c r="E1149" s="39" t="s">
        <v>1028</v>
      </c>
      <c r="F1149" s="46" t="s">
        <v>93</v>
      </c>
    </row>
    <row r="1150" spans="5:6" x14ac:dyDescent="0.3">
      <c r="E1150" s="38" t="s">
        <v>1029</v>
      </c>
      <c r="F1150" s="45" t="s">
        <v>93</v>
      </c>
    </row>
    <row r="1151" spans="5:6" x14ac:dyDescent="0.3">
      <c r="E1151" s="39" t="s">
        <v>1030</v>
      </c>
      <c r="F1151" s="46" t="s">
        <v>93</v>
      </c>
    </row>
    <row r="1152" spans="5:6" x14ac:dyDescent="0.3">
      <c r="E1152" s="38" t="s">
        <v>1031</v>
      </c>
      <c r="F1152" s="45" t="s">
        <v>93</v>
      </c>
    </row>
    <row r="1153" spans="5:6" x14ac:dyDescent="0.3">
      <c r="E1153" s="39" t="s">
        <v>1032</v>
      </c>
      <c r="F1153" s="46" t="s">
        <v>93</v>
      </c>
    </row>
    <row r="1154" spans="5:6" x14ac:dyDescent="0.3">
      <c r="E1154" s="38" t="s">
        <v>1033</v>
      </c>
      <c r="F1154" s="45" t="s">
        <v>93</v>
      </c>
    </row>
    <row r="1155" spans="5:6" x14ac:dyDescent="0.3">
      <c r="E1155" s="39" t="s">
        <v>1034</v>
      </c>
      <c r="F1155" s="46" t="s">
        <v>93</v>
      </c>
    </row>
    <row r="1156" spans="5:6" x14ac:dyDescent="0.3">
      <c r="E1156" s="38" t="s">
        <v>1035</v>
      </c>
      <c r="F1156" s="45" t="s">
        <v>93</v>
      </c>
    </row>
    <row r="1157" spans="5:6" x14ac:dyDescent="0.3">
      <c r="E1157" s="39" t="s">
        <v>1036</v>
      </c>
      <c r="F1157" s="46" t="s">
        <v>93</v>
      </c>
    </row>
    <row r="1158" spans="5:6" x14ac:dyDescent="0.3">
      <c r="E1158" s="38" t="s">
        <v>1037</v>
      </c>
      <c r="F1158" s="45" t="s">
        <v>93</v>
      </c>
    </row>
    <row r="1159" spans="5:6" x14ac:dyDescent="0.3">
      <c r="E1159" s="39" t="s">
        <v>1038</v>
      </c>
      <c r="F1159" s="46" t="s">
        <v>93</v>
      </c>
    </row>
    <row r="1160" spans="5:6" x14ac:dyDescent="0.3">
      <c r="E1160" s="38" t="s">
        <v>1039</v>
      </c>
      <c r="F1160" s="45" t="s">
        <v>93</v>
      </c>
    </row>
    <row r="1161" spans="5:6" x14ac:dyDescent="0.3">
      <c r="E1161" s="39" t="s">
        <v>1040</v>
      </c>
      <c r="F1161" s="46" t="s">
        <v>93</v>
      </c>
    </row>
    <row r="1162" spans="5:6" x14ac:dyDescent="0.3">
      <c r="E1162" s="38" t="s">
        <v>1041</v>
      </c>
      <c r="F1162" s="45" t="s">
        <v>93</v>
      </c>
    </row>
    <row r="1163" spans="5:6" x14ac:dyDescent="0.3">
      <c r="E1163" s="39" t="s">
        <v>1042</v>
      </c>
      <c r="F1163" s="46" t="s">
        <v>93</v>
      </c>
    </row>
    <row r="1164" spans="5:6" x14ac:dyDescent="0.3">
      <c r="E1164" s="38" t="s">
        <v>1043</v>
      </c>
      <c r="F1164" s="45" t="s">
        <v>93</v>
      </c>
    </row>
    <row r="1165" spans="5:6" x14ac:dyDescent="0.3">
      <c r="E1165" s="39" t="s">
        <v>1044</v>
      </c>
      <c r="F1165" s="46" t="s">
        <v>93</v>
      </c>
    </row>
    <row r="1166" spans="5:6" x14ac:dyDescent="0.3">
      <c r="E1166" s="38" t="s">
        <v>1045</v>
      </c>
      <c r="F1166" s="45" t="s">
        <v>93</v>
      </c>
    </row>
    <row r="1167" spans="5:6" x14ac:dyDescent="0.3">
      <c r="E1167" s="39" t="s">
        <v>1046</v>
      </c>
      <c r="F1167" s="46" t="s">
        <v>93</v>
      </c>
    </row>
    <row r="1168" spans="5:6" x14ac:dyDescent="0.3">
      <c r="E1168" s="38" t="s">
        <v>1047</v>
      </c>
      <c r="F1168" s="45" t="s">
        <v>93</v>
      </c>
    </row>
    <row r="1169" spans="5:6" x14ac:dyDescent="0.3">
      <c r="E1169" s="39" t="s">
        <v>1048</v>
      </c>
      <c r="F1169" s="46" t="s">
        <v>93</v>
      </c>
    </row>
    <row r="1170" spans="5:6" x14ac:dyDescent="0.3">
      <c r="E1170" s="38" t="s">
        <v>1049</v>
      </c>
      <c r="F1170" s="45" t="s">
        <v>93</v>
      </c>
    </row>
    <row r="1171" spans="5:6" x14ac:dyDescent="0.3">
      <c r="E1171" s="39" t="s">
        <v>1050</v>
      </c>
      <c r="F1171" s="46" t="s">
        <v>93</v>
      </c>
    </row>
    <row r="1172" spans="5:6" x14ac:dyDescent="0.3">
      <c r="E1172" s="38" t="s">
        <v>1051</v>
      </c>
      <c r="F1172" s="45" t="s">
        <v>93</v>
      </c>
    </row>
    <row r="1173" spans="5:6" x14ac:dyDescent="0.3">
      <c r="E1173" s="39" t="s">
        <v>1052</v>
      </c>
      <c r="F1173" s="46" t="s">
        <v>93</v>
      </c>
    </row>
    <row r="1174" spans="5:6" x14ac:dyDescent="0.3">
      <c r="E1174" s="38" t="s">
        <v>1053</v>
      </c>
      <c r="F1174" s="45" t="s">
        <v>93</v>
      </c>
    </row>
    <row r="1175" spans="5:6" x14ac:dyDescent="0.3">
      <c r="E1175" s="39" t="s">
        <v>1054</v>
      </c>
      <c r="F1175" s="46" t="s">
        <v>93</v>
      </c>
    </row>
    <row r="1176" spans="5:6" x14ac:dyDescent="0.3">
      <c r="E1176" s="38" t="s">
        <v>1055</v>
      </c>
      <c r="F1176" s="45" t="s">
        <v>92</v>
      </c>
    </row>
    <row r="1177" spans="5:6" x14ac:dyDescent="0.3">
      <c r="E1177" s="39" t="s">
        <v>1056</v>
      </c>
      <c r="F1177" s="46" t="s">
        <v>92</v>
      </c>
    </row>
    <row r="1178" spans="5:6" x14ac:dyDescent="0.3">
      <c r="E1178" s="38" t="s">
        <v>738</v>
      </c>
      <c r="F1178" s="45" t="s">
        <v>92</v>
      </c>
    </row>
    <row r="1179" spans="5:6" x14ac:dyDescent="0.3">
      <c r="E1179" s="39" t="s">
        <v>276</v>
      </c>
      <c r="F1179" s="46" t="s">
        <v>92</v>
      </c>
    </row>
    <row r="1180" spans="5:6" x14ac:dyDescent="0.3">
      <c r="E1180" s="38" t="s">
        <v>634</v>
      </c>
      <c r="F1180" s="45" t="s">
        <v>92</v>
      </c>
    </row>
    <row r="1181" spans="5:6" x14ac:dyDescent="0.3">
      <c r="E1181" s="39" t="s">
        <v>1057</v>
      </c>
      <c r="F1181" s="46" t="s">
        <v>92</v>
      </c>
    </row>
    <row r="1182" spans="5:6" x14ac:dyDescent="0.3">
      <c r="E1182" s="38" t="s">
        <v>754</v>
      </c>
      <c r="F1182" s="45" t="s">
        <v>92</v>
      </c>
    </row>
    <row r="1183" spans="5:6" x14ac:dyDescent="0.3">
      <c r="E1183" s="39" t="s">
        <v>383</v>
      </c>
      <c r="F1183" s="46" t="s">
        <v>92</v>
      </c>
    </row>
    <row r="1184" spans="5:6" x14ac:dyDescent="0.3">
      <c r="E1184" s="38" t="s">
        <v>1058</v>
      </c>
      <c r="F1184" s="45" t="s">
        <v>92</v>
      </c>
    </row>
    <row r="1185" spans="5:6" x14ac:dyDescent="0.3">
      <c r="E1185" s="39" t="s">
        <v>1059</v>
      </c>
      <c r="F1185" s="46" t="s">
        <v>92</v>
      </c>
    </row>
    <row r="1186" spans="5:6" x14ac:dyDescent="0.3">
      <c r="E1186" s="38" t="s">
        <v>1060</v>
      </c>
      <c r="F1186" s="45" t="s">
        <v>92</v>
      </c>
    </row>
    <row r="1187" spans="5:6" x14ac:dyDescent="0.3">
      <c r="E1187" s="39" t="s">
        <v>1061</v>
      </c>
      <c r="F1187" s="46" t="s">
        <v>92</v>
      </c>
    </row>
    <row r="1188" spans="5:6" x14ac:dyDescent="0.3">
      <c r="E1188" s="38" t="s">
        <v>1062</v>
      </c>
      <c r="F1188" s="45" t="s">
        <v>92</v>
      </c>
    </row>
    <row r="1189" spans="5:6" x14ac:dyDescent="0.3">
      <c r="E1189" s="39" t="s">
        <v>1063</v>
      </c>
      <c r="F1189" s="46" t="s">
        <v>92</v>
      </c>
    </row>
    <row r="1190" spans="5:6" x14ac:dyDescent="0.3">
      <c r="E1190" s="38" t="s">
        <v>311</v>
      </c>
      <c r="F1190" s="45" t="s">
        <v>92</v>
      </c>
    </row>
    <row r="1191" spans="5:6" x14ac:dyDescent="0.3">
      <c r="E1191" s="39" t="s">
        <v>1064</v>
      </c>
      <c r="F1191" s="46" t="s">
        <v>92</v>
      </c>
    </row>
    <row r="1192" spans="5:6" x14ac:dyDescent="0.3">
      <c r="E1192" s="38" t="s">
        <v>1065</v>
      </c>
      <c r="F1192" s="45" t="s">
        <v>91</v>
      </c>
    </row>
    <row r="1193" spans="5:6" x14ac:dyDescent="0.3">
      <c r="E1193" s="39" t="s">
        <v>1066</v>
      </c>
      <c r="F1193" s="46" t="s">
        <v>91</v>
      </c>
    </row>
    <row r="1194" spans="5:6" x14ac:dyDescent="0.3">
      <c r="E1194" s="38" t="s">
        <v>1067</v>
      </c>
      <c r="F1194" s="45" t="s">
        <v>91</v>
      </c>
    </row>
    <row r="1195" spans="5:6" x14ac:dyDescent="0.3">
      <c r="E1195" s="39" t="s">
        <v>1068</v>
      </c>
      <c r="F1195" s="46" t="s">
        <v>91</v>
      </c>
    </row>
    <row r="1196" spans="5:6" x14ac:dyDescent="0.3">
      <c r="E1196" s="38" t="s">
        <v>1069</v>
      </c>
      <c r="F1196" s="45" t="s">
        <v>91</v>
      </c>
    </row>
    <row r="1197" spans="5:6" x14ac:dyDescent="0.3">
      <c r="E1197" s="39" t="s">
        <v>360</v>
      </c>
      <c r="F1197" s="46" t="s">
        <v>91</v>
      </c>
    </row>
    <row r="1198" spans="5:6" x14ac:dyDescent="0.3">
      <c r="E1198" s="38" t="s">
        <v>1070</v>
      </c>
      <c r="F1198" s="45" t="s">
        <v>91</v>
      </c>
    </row>
    <row r="1199" spans="5:6" x14ac:dyDescent="0.3">
      <c r="E1199" s="39" t="s">
        <v>1071</v>
      </c>
      <c r="F1199" s="46" t="s">
        <v>91</v>
      </c>
    </row>
    <row r="1200" spans="5:6" x14ac:dyDescent="0.3">
      <c r="E1200" s="38" t="s">
        <v>1072</v>
      </c>
      <c r="F1200" s="45" t="s">
        <v>91</v>
      </c>
    </row>
    <row r="1201" spans="5:6" x14ac:dyDescent="0.3">
      <c r="E1201" s="39" t="s">
        <v>1073</v>
      </c>
      <c r="F1201" s="46" t="s">
        <v>91</v>
      </c>
    </row>
    <row r="1202" spans="5:6" x14ac:dyDescent="0.3">
      <c r="E1202" s="38" t="s">
        <v>1074</v>
      </c>
      <c r="F1202" s="45" t="s">
        <v>91</v>
      </c>
    </row>
    <row r="1203" spans="5:6" x14ac:dyDescent="0.3">
      <c r="E1203" s="39" t="s">
        <v>1075</v>
      </c>
      <c r="F1203" s="46" t="s">
        <v>91</v>
      </c>
    </row>
    <row r="1204" spans="5:6" x14ac:dyDescent="0.3">
      <c r="E1204" s="38" t="s">
        <v>378</v>
      </c>
      <c r="F1204" s="45" t="s">
        <v>91</v>
      </c>
    </row>
    <row r="1205" spans="5:6" x14ac:dyDescent="0.3">
      <c r="E1205" s="39" t="s">
        <v>529</v>
      </c>
      <c r="F1205" s="46" t="s">
        <v>91</v>
      </c>
    </row>
    <row r="1206" spans="5:6" x14ac:dyDescent="0.3">
      <c r="E1206" s="38" t="s">
        <v>297</v>
      </c>
      <c r="F1206" s="45" t="s">
        <v>91</v>
      </c>
    </row>
    <row r="1207" spans="5:6" x14ac:dyDescent="0.3">
      <c r="E1207" s="39" t="s">
        <v>1076</v>
      </c>
      <c r="F1207" s="46" t="s">
        <v>91</v>
      </c>
    </row>
    <row r="1208" spans="5:6" x14ac:dyDescent="0.3">
      <c r="E1208" s="38" t="s">
        <v>1077</v>
      </c>
      <c r="F1208" s="45" t="s">
        <v>91</v>
      </c>
    </row>
    <row r="1209" spans="5:6" x14ac:dyDescent="0.3">
      <c r="E1209" s="39" t="s">
        <v>1078</v>
      </c>
      <c r="F1209" s="46" t="s">
        <v>91</v>
      </c>
    </row>
    <row r="1210" spans="5:6" x14ac:dyDescent="0.3">
      <c r="E1210" s="38" t="s">
        <v>1062</v>
      </c>
      <c r="F1210" s="45" t="s">
        <v>91</v>
      </c>
    </row>
    <row r="1211" spans="5:6" x14ac:dyDescent="0.3">
      <c r="E1211" s="39" t="s">
        <v>668</v>
      </c>
      <c r="F1211" s="46" t="s">
        <v>91</v>
      </c>
    </row>
    <row r="1212" spans="5:6" x14ac:dyDescent="0.3">
      <c r="E1212" s="38" t="s">
        <v>311</v>
      </c>
      <c r="F1212" s="45" t="s">
        <v>91</v>
      </c>
    </row>
    <row r="1213" spans="5:6" x14ac:dyDescent="0.3">
      <c r="E1213" s="39" t="s">
        <v>1079</v>
      </c>
      <c r="F1213" s="46" t="s">
        <v>91</v>
      </c>
    </row>
    <row r="1214" spans="5:6" x14ac:dyDescent="0.3">
      <c r="E1214" s="38" t="s">
        <v>1080</v>
      </c>
      <c r="F1214" s="45" t="s">
        <v>91</v>
      </c>
    </row>
    <row r="1215" spans="5:6" x14ac:dyDescent="0.3">
      <c r="E1215" s="39" t="s">
        <v>1081</v>
      </c>
      <c r="F1215" s="46" t="s">
        <v>91</v>
      </c>
    </row>
    <row r="1216" spans="5:6" x14ac:dyDescent="0.3">
      <c r="E1216" s="38" t="s">
        <v>1082</v>
      </c>
      <c r="F1216" s="45" t="s">
        <v>90</v>
      </c>
    </row>
    <row r="1217" spans="5:6" x14ac:dyDescent="0.3">
      <c r="E1217" s="39" t="s">
        <v>1083</v>
      </c>
      <c r="F1217" s="46" t="s">
        <v>90</v>
      </c>
    </row>
    <row r="1218" spans="5:6" x14ac:dyDescent="0.3">
      <c r="E1218" s="38" t="s">
        <v>1084</v>
      </c>
      <c r="F1218" s="45" t="s">
        <v>90</v>
      </c>
    </row>
    <row r="1219" spans="5:6" x14ac:dyDescent="0.3">
      <c r="E1219" s="39" t="s">
        <v>1085</v>
      </c>
      <c r="F1219" s="46" t="s">
        <v>90</v>
      </c>
    </row>
    <row r="1220" spans="5:6" x14ac:dyDescent="0.3">
      <c r="E1220" s="38" t="s">
        <v>1086</v>
      </c>
      <c r="F1220" s="45" t="s">
        <v>90</v>
      </c>
    </row>
    <row r="1221" spans="5:6" x14ac:dyDescent="0.3">
      <c r="E1221" s="39" t="s">
        <v>276</v>
      </c>
      <c r="F1221" s="46" t="s">
        <v>90</v>
      </c>
    </row>
    <row r="1222" spans="5:6" x14ac:dyDescent="0.3">
      <c r="E1222" s="38" t="s">
        <v>1087</v>
      </c>
      <c r="F1222" s="45" t="s">
        <v>90</v>
      </c>
    </row>
    <row r="1223" spans="5:6" x14ac:dyDescent="0.3">
      <c r="E1223" s="39" t="s">
        <v>1088</v>
      </c>
      <c r="F1223" s="46" t="s">
        <v>90</v>
      </c>
    </row>
    <row r="1224" spans="5:6" x14ac:dyDescent="0.3">
      <c r="E1224" s="38" t="s">
        <v>524</v>
      </c>
      <c r="F1224" s="45" t="s">
        <v>90</v>
      </c>
    </row>
    <row r="1225" spans="5:6" x14ac:dyDescent="0.3">
      <c r="E1225" s="39" t="s">
        <v>1089</v>
      </c>
      <c r="F1225" s="46" t="s">
        <v>90</v>
      </c>
    </row>
    <row r="1226" spans="5:6" x14ac:dyDescent="0.3">
      <c r="E1226" s="38" t="s">
        <v>1090</v>
      </c>
      <c r="F1226" s="45" t="s">
        <v>90</v>
      </c>
    </row>
    <row r="1227" spans="5:6" x14ac:dyDescent="0.3">
      <c r="E1227" s="39" t="s">
        <v>856</v>
      </c>
      <c r="F1227" s="46" t="s">
        <v>90</v>
      </c>
    </row>
    <row r="1228" spans="5:6" x14ac:dyDescent="0.3">
      <c r="E1228" s="38" t="s">
        <v>1091</v>
      </c>
      <c r="F1228" s="45" t="s">
        <v>90</v>
      </c>
    </row>
    <row r="1229" spans="5:6" x14ac:dyDescent="0.3">
      <c r="E1229" s="39" t="s">
        <v>1080</v>
      </c>
      <c r="F1229" s="46" t="s">
        <v>90</v>
      </c>
    </row>
    <row r="1230" spans="5:6" x14ac:dyDescent="0.3">
      <c r="E1230" s="38" t="s">
        <v>1092</v>
      </c>
      <c r="F1230" s="45" t="s">
        <v>89</v>
      </c>
    </row>
    <row r="1231" spans="5:6" x14ac:dyDescent="0.3">
      <c r="E1231" s="39" t="s">
        <v>1093</v>
      </c>
      <c r="F1231" s="46" t="s">
        <v>89</v>
      </c>
    </row>
    <row r="1232" spans="5:6" x14ac:dyDescent="0.3">
      <c r="E1232" s="38" t="s">
        <v>1094</v>
      </c>
      <c r="F1232" s="45" t="s">
        <v>89</v>
      </c>
    </row>
    <row r="1233" spans="5:6" x14ac:dyDescent="0.3">
      <c r="E1233" s="39" t="s">
        <v>1095</v>
      </c>
      <c r="F1233" s="46" t="s">
        <v>89</v>
      </c>
    </row>
    <row r="1234" spans="5:6" x14ac:dyDescent="0.3">
      <c r="E1234" s="38" t="s">
        <v>1096</v>
      </c>
      <c r="F1234" s="45" t="s">
        <v>89</v>
      </c>
    </row>
    <row r="1235" spans="5:6" x14ac:dyDescent="0.3">
      <c r="E1235" s="39" t="s">
        <v>1097</v>
      </c>
      <c r="F1235" s="46" t="s">
        <v>89</v>
      </c>
    </row>
    <row r="1236" spans="5:6" x14ac:dyDescent="0.3">
      <c r="E1236" s="38" t="s">
        <v>1098</v>
      </c>
      <c r="F1236" s="45" t="s">
        <v>89</v>
      </c>
    </row>
    <row r="1237" spans="5:6" x14ac:dyDescent="0.3">
      <c r="E1237" s="39" t="s">
        <v>1099</v>
      </c>
      <c r="F1237" s="46" t="s">
        <v>89</v>
      </c>
    </row>
    <row r="1238" spans="5:6" x14ac:dyDescent="0.3">
      <c r="E1238" s="38" t="s">
        <v>536</v>
      </c>
      <c r="F1238" s="45" t="s">
        <v>89</v>
      </c>
    </row>
    <row r="1239" spans="5:6" x14ac:dyDescent="0.3">
      <c r="E1239" s="39" t="s">
        <v>1100</v>
      </c>
      <c r="F1239" s="46" t="s">
        <v>89</v>
      </c>
    </row>
    <row r="1240" spans="5:6" x14ac:dyDescent="0.3">
      <c r="E1240" s="38" t="s">
        <v>590</v>
      </c>
      <c r="F1240" s="45" t="s">
        <v>89</v>
      </c>
    </row>
    <row r="1241" spans="5:6" x14ac:dyDescent="0.3">
      <c r="E1241" s="39" t="s">
        <v>1101</v>
      </c>
      <c r="F1241" s="46" t="s">
        <v>89</v>
      </c>
    </row>
    <row r="1242" spans="5:6" x14ac:dyDescent="0.3">
      <c r="E1242" s="38" t="s">
        <v>254</v>
      </c>
      <c r="F1242" s="45" t="s">
        <v>89</v>
      </c>
    </row>
    <row r="1243" spans="5:6" x14ac:dyDescent="0.3">
      <c r="E1243" s="39" t="s">
        <v>733</v>
      </c>
      <c r="F1243" s="46" t="s">
        <v>89</v>
      </c>
    </row>
    <row r="1244" spans="5:6" x14ac:dyDescent="0.3">
      <c r="E1244" s="38" t="s">
        <v>1102</v>
      </c>
      <c r="F1244" s="45" t="s">
        <v>89</v>
      </c>
    </row>
    <row r="1245" spans="5:6" x14ac:dyDescent="0.3">
      <c r="E1245" s="39" t="s">
        <v>1103</v>
      </c>
      <c r="F1245" s="46" t="s">
        <v>89</v>
      </c>
    </row>
    <row r="1246" spans="5:6" x14ac:dyDescent="0.3">
      <c r="E1246" s="38" t="s">
        <v>1104</v>
      </c>
      <c r="F1246" s="45" t="s">
        <v>89</v>
      </c>
    </row>
    <row r="1247" spans="5:6" x14ac:dyDescent="0.3">
      <c r="E1247" s="39" t="s">
        <v>1105</v>
      </c>
      <c r="F1247" s="46" t="s">
        <v>89</v>
      </c>
    </row>
    <row r="1248" spans="5:6" x14ac:dyDescent="0.3">
      <c r="E1248" s="38" t="s">
        <v>736</v>
      </c>
      <c r="F1248" s="45" t="s">
        <v>89</v>
      </c>
    </row>
    <row r="1249" spans="5:6" x14ac:dyDescent="0.3">
      <c r="E1249" s="39" t="s">
        <v>367</v>
      </c>
      <c r="F1249" s="46" t="s">
        <v>89</v>
      </c>
    </row>
    <row r="1250" spans="5:6" x14ac:dyDescent="0.3">
      <c r="E1250" s="38" t="s">
        <v>481</v>
      </c>
      <c r="F1250" s="45" t="s">
        <v>89</v>
      </c>
    </row>
    <row r="1251" spans="5:6" x14ac:dyDescent="0.3">
      <c r="E1251" s="39" t="s">
        <v>837</v>
      </c>
      <c r="F1251" s="46" t="s">
        <v>89</v>
      </c>
    </row>
    <row r="1252" spans="5:6" x14ac:dyDescent="0.3">
      <c r="E1252" s="38" t="s">
        <v>1106</v>
      </c>
      <c r="F1252" s="45" t="s">
        <v>89</v>
      </c>
    </row>
    <row r="1253" spans="5:6" x14ac:dyDescent="0.3">
      <c r="E1253" s="39" t="s">
        <v>839</v>
      </c>
      <c r="F1253" s="46" t="s">
        <v>89</v>
      </c>
    </row>
    <row r="1254" spans="5:6" x14ac:dyDescent="0.3">
      <c r="E1254" s="38" t="s">
        <v>1107</v>
      </c>
      <c r="F1254" s="45" t="s">
        <v>89</v>
      </c>
    </row>
    <row r="1255" spans="5:6" x14ac:dyDescent="0.3">
      <c r="E1255" s="39" t="s">
        <v>1108</v>
      </c>
      <c r="F1255" s="46" t="s">
        <v>89</v>
      </c>
    </row>
    <row r="1256" spans="5:6" x14ac:dyDescent="0.3">
      <c r="E1256" s="38" t="s">
        <v>1109</v>
      </c>
      <c r="F1256" s="45" t="s">
        <v>89</v>
      </c>
    </row>
    <row r="1257" spans="5:6" x14ac:dyDescent="0.3">
      <c r="E1257" s="39" t="s">
        <v>1110</v>
      </c>
      <c r="F1257" s="46" t="s">
        <v>89</v>
      </c>
    </row>
    <row r="1258" spans="5:6" x14ac:dyDescent="0.3">
      <c r="E1258" s="38" t="s">
        <v>1111</v>
      </c>
      <c r="F1258" s="45" t="s">
        <v>89</v>
      </c>
    </row>
    <row r="1259" spans="5:6" x14ac:dyDescent="0.3">
      <c r="E1259" s="39" t="s">
        <v>1112</v>
      </c>
      <c r="F1259" s="46" t="s">
        <v>89</v>
      </c>
    </row>
    <row r="1260" spans="5:6" x14ac:dyDescent="0.3">
      <c r="E1260" s="38" t="s">
        <v>1113</v>
      </c>
      <c r="F1260" s="45" t="s">
        <v>89</v>
      </c>
    </row>
    <row r="1261" spans="5:6" x14ac:dyDescent="0.3">
      <c r="E1261" s="39" t="s">
        <v>1114</v>
      </c>
      <c r="F1261" s="46" t="s">
        <v>89</v>
      </c>
    </row>
    <row r="1262" spans="5:6" x14ac:dyDescent="0.3">
      <c r="E1262" s="38" t="s">
        <v>1115</v>
      </c>
      <c r="F1262" s="45" t="s">
        <v>89</v>
      </c>
    </row>
    <row r="1263" spans="5:6" x14ac:dyDescent="0.3">
      <c r="E1263" s="39" t="s">
        <v>1116</v>
      </c>
      <c r="F1263" s="46" t="s">
        <v>89</v>
      </c>
    </row>
    <row r="1264" spans="5:6" x14ac:dyDescent="0.3">
      <c r="E1264" s="38" t="s">
        <v>1117</v>
      </c>
      <c r="F1264" s="45" t="s">
        <v>89</v>
      </c>
    </row>
    <row r="1265" spans="5:6" x14ac:dyDescent="0.3">
      <c r="E1265" s="39" t="s">
        <v>1118</v>
      </c>
      <c r="F1265" s="46" t="s">
        <v>89</v>
      </c>
    </row>
    <row r="1266" spans="5:6" x14ac:dyDescent="0.3">
      <c r="E1266" s="38" t="s">
        <v>1119</v>
      </c>
      <c r="F1266" s="45" t="s">
        <v>89</v>
      </c>
    </row>
    <row r="1267" spans="5:6" x14ac:dyDescent="0.3">
      <c r="E1267" s="39" t="s">
        <v>282</v>
      </c>
      <c r="F1267" s="46" t="s">
        <v>89</v>
      </c>
    </row>
    <row r="1268" spans="5:6" x14ac:dyDescent="0.3">
      <c r="E1268" s="38" t="s">
        <v>1120</v>
      </c>
      <c r="F1268" s="45" t="s">
        <v>89</v>
      </c>
    </row>
    <row r="1269" spans="5:6" x14ac:dyDescent="0.3">
      <c r="E1269" s="39" t="s">
        <v>1121</v>
      </c>
      <c r="F1269" s="46" t="s">
        <v>89</v>
      </c>
    </row>
    <row r="1270" spans="5:6" x14ac:dyDescent="0.3">
      <c r="E1270" s="38" t="s">
        <v>529</v>
      </c>
      <c r="F1270" s="45" t="s">
        <v>89</v>
      </c>
    </row>
    <row r="1271" spans="5:6" x14ac:dyDescent="0.3">
      <c r="E1271" s="39" t="s">
        <v>1122</v>
      </c>
      <c r="F1271" s="46" t="s">
        <v>89</v>
      </c>
    </row>
    <row r="1272" spans="5:6" x14ac:dyDescent="0.3">
      <c r="E1272" s="38" t="s">
        <v>427</v>
      </c>
      <c r="F1272" s="45" t="s">
        <v>89</v>
      </c>
    </row>
    <row r="1273" spans="5:6" x14ac:dyDescent="0.3">
      <c r="E1273" s="39" t="s">
        <v>1123</v>
      </c>
      <c r="F1273" s="46" t="s">
        <v>89</v>
      </c>
    </row>
    <row r="1274" spans="5:6" x14ac:dyDescent="0.3">
      <c r="E1274" s="38" t="s">
        <v>1124</v>
      </c>
      <c r="F1274" s="45" t="s">
        <v>89</v>
      </c>
    </row>
    <row r="1275" spans="5:6" x14ac:dyDescent="0.3">
      <c r="E1275" s="39" t="s">
        <v>1125</v>
      </c>
      <c r="F1275" s="46" t="s">
        <v>89</v>
      </c>
    </row>
    <row r="1276" spans="5:6" x14ac:dyDescent="0.3">
      <c r="E1276" s="38" t="s">
        <v>756</v>
      </c>
      <c r="F1276" s="45" t="s">
        <v>89</v>
      </c>
    </row>
    <row r="1277" spans="5:6" x14ac:dyDescent="0.3">
      <c r="E1277" s="39" t="s">
        <v>1126</v>
      </c>
      <c r="F1277" s="46" t="s">
        <v>89</v>
      </c>
    </row>
    <row r="1278" spans="5:6" x14ac:dyDescent="0.3">
      <c r="E1278" s="38" t="s">
        <v>1127</v>
      </c>
      <c r="F1278" s="45" t="s">
        <v>89</v>
      </c>
    </row>
    <row r="1279" spans="5:6" x14ac:dyDescent="0.3">
      <c r="E1279" s="39" t="s">
        <v>1128</v>
      </c>
      <c r="F1279" s="46" t="s">
        <v>89</v>
      </c>
    </row>
    <row r="1280" spans="5:6" x14ac:dyDescent="0.3">
      <c r="E1280" s="38" t="s">
        <v>1129</v>
      </c>
      <c r="F1280" s="45" t="s">
        <v>89</v>
      </c>
    </row>
    <row r="1281" spans="5:6" x14ac:dyDescent="0.3">
      <c r="E1281" s="39" t="s">
        <v>1130</v>
      </c>
      <c r="F1281" s="46" t="s">
        <v>89</v>
      </c>
    </row>
    <row r="1282" spans="5:6" x14ac:dyDescent="0.3">
      <c r="E1282" s="38" t="s">
        <v>761</v>
      </c>
      <c r="F1282" s="45" t="s">
        <v>89</v>
      </c>
    </row>
    <row r="1283" spans="5:6" x14ac:dyDescent="0.3">
      <c r="E1283" s="39" t="s">
        <v>1131</v>
      </c>
      <c r="F1283" s="46" t="s">
        <v>89</v>
      </c>
    </row>
    <row r="1284" spans="5:6" x14ac:dyDescent="0.3">
      <c r="E1284" s="38" t="s">
        <v>1132</v>
      </c>
      <c r="F1284" s="45" t="s">
        <v>89</v>
      </c>
    </row>
    <row r="1285" spans="5:6" x14ac:dyDescent="0.3">
      <c r="E1285" s="39" t="s">
        <v>1133</v>
      </c>
      <c r="F1285" s="46" t="s">
        <v>89</v>
      </c>
    </row>
    <row r="1286" spans="5:6" x14ac:dyDescent="0.3">
      <c r="E1286" s="38" t="s">
        <v>1134</v>
      </c>
      <c r="F1286" s="45" t="s">
        <v>89</v>
      </c>
    </row>
    <row r="1287" spans="5:6" x14ac:dyDescent="0.3">
      <c r="E1287" s="39" t="s">
        <v>296</v>
      </c>
      <c r="F1287" s="46" t="s">
        <v>89</v>
      </c>
    </row>
    <row r="1288" spans="5:6" x14ac:dyDescent="0.3">
      <c r="E1288" s="38" t="s">
        <v>1135</v>
      </c>
      <c r="F1288" s="45" t="s">
        <v>89</v>
      </c>
    </row>
    <row r="1289" spans="5:6" x14ac:dyDescent="0.3">
      <c r="E1289" s="39" t="s">
        <v>1136</v>
      </c>
      <c r="F1289" s="46" t="s">
        <v>89</v>
      </c>
    </row>
    <row r="1290" spans="5:6" x14ac:dyDescent="0.3">
      <c r="E1290" s="38" t="s">
        <v>1137</v>
      </c>
      <c r="F1290" s="45" t="s">
        <v>89</v>
      </c>
    </row>
    <row r="1291" spans="5:6" x14ac:dyDescent="0.3">
      <c r="E1291" s="39" t="s">
        <v>1138</v>
      </c>
      <c r="F1291" s="46" t="s">
        <v>89</v>
      </c>
    </row>
    <row r="1292" spans="5:6" x14ac:dyDescent="0.3">
      <c r="E1292" s="38" t="s">
        <v>1139</v>
      </c>
      <c r="F1292" s="45" t="s">
        <v>89</v>
      </c>
    </row>
    <row r="1293" spans="5:6" x14ac:dyDescent="0.3">
      <c r="E1293" s="39" t="s">
        <v>1140</v>
      </c>
      <c r="F1293" s="46" t="s">
        <v>89</v>
      </c>
    </row>
    <row r="1294" spans="5:6" x14ac:dyDescent="0.3">
      <c r="E1294" s="38" t="s">
        <v>1141</v>
      </c>
      <c r="F1294" s="45" t="s">
        <v>89</v>
      </c>
    </row>
    <row r="1295" spans="5:6" x14ac:dyDescent="0.3">
      <c r="E1295" s="39" t="s">
        <v>1142</v>
      </c>
      <c r="F1295" s="46" t="s">
        <v>89</v>
      </c>
    </row>
    <row r="1296" spans="5:6" x14ac:dyDescent="0.3">
      <c r="E1296" s="38" t="s">
        <v>568</v>
      </c>
      <c r="F1296" s="45" t="s">
        <v>89</v>
      </c>
    </row>
    <row r="1297" spans="5:6" x14ac:dyDescent="0.3">
      <c r="E1297" s="39" t="s">
        <v>1143</v>
      </c>
      <c r="F1297" s="46" t="s">
        <v>89</v>
      </c>
    </row>
    <row r="1298" spans="5:6" x14ac:dyDescent="0.3">
      <c r="E1298" s="38" t="s">
        <v>1144</v>
      </c>
      <c r="F1298" s="45" t="s">
        <v>89</v>
      </c>
    </row>
    <row r="1299" spans="5:6" x14ac:dyDescent="0.3">
      <c r="E1299" s="39" t="s">
        <v>910</v>
      </c>
      <c r="F1299" s="46" t="s">
        <v>89</v>
      </c>
    </row>
    <row r="1300" spans="5:6" x14ac:dyDescent="0.3">
      <c r="E1300" s="38" t="s">
        <v>1145</v>
      </c>
      <c r="F1300" s="45" t="s">
        <v>89</v>
      </c>
    </row>
    <row r="1301" spans="5:6" x14ac:dyDescent="0.3">
      <c r="E1301" s="39" t="s">
        <v>1146</v>
      </c>
      <c r="F1301" s="46" t="s">
        <v>89</v>
      </c>
    </row>
    <row r="1302" spans="5:6" x14ac:dyDescent="0.3">
      <c r="E1302" s="38" t="s">
        <v>1147</v>
      </c>
      <c r="F1302" s="45" t="s">
        <v>89</v>
      </c>
    </row>
    <row r="1303" spans="5:6" x14ac:dyDescent="0.3">
      <c r="E1303" s="39" t="s">
        <v>304</v>
      </c>
      <c r="F1303" s="46" t="s">
        <v>89</v>
      </c>
    </row>
    <row r="1304" spans="5:6" x14ac:dyDescent="0.3">
      <c r="E1304" s="38" t="s">
        <v>810</v>
      </c>
      <c r="F1304" s="45" t="s">
        <v>89</v>
      </c>
    </row>
    <row r="1305" spans="5:6" x14ac:dyDescent="0.3">
      <c r="E1305" s="39" t="s">
        <v>1148</v>
      </c>
      <c r="F1305" s="46" t="s">
        <v>89</v>
      </c>
    </row>
    <row r="1306" spans="5:6" x14ac:dyDescent="0.3">
      <c r="E1306" s="38" t="s">
        <v>1149</v>
      </c>
      <c r="F1306" s="45" t="s">
        <v>89</v>
      </c>
    </row>
    <row r="1307" spans="5:6" x14ac:dyDescent="0.3">
      <c r="E1307" s="39" t="s">
        <v>1150</v>
      </c>
      <c r="F1307" s="46" t="s">
        <v>89</v>
      </c>
    </row>
    <row r="1308" spans="5:6" x14ac:dyDescent="0.3">
      <c r="E1308" s="38" t="s">
        <v>1151</v>
      </c>
      <c r="F1308" s="45" t="s">
        <v>89</v>
      </c>
    </row>
    <row r="1309" spans="5:6" x14ac:dyDescent="0.3">
      <c r="E1309" s="39" t="s">
        <v>407</v>
      </c>
      <c r="F1309" s="46" t="s">
        <v>89</v>
      </c>
    </row>
    <row r="1310" spans="5:6" x14ac:dyDescent="0.3">
      <c r="E1310" s="38" t="s">
        <v>1152</v>
      </c>
      <c r="F1310" s="45" t="s">
        <v>89</v>
      </c>
    </row>
    <row r="1311" spans="5:6" x14ac:dyDescent="0.3">
      <c r="E1311" s="39" t="s">
        <v>684</v>
      </c>
      <c r="F1311" s="46" t="s">
        <v>89</v>
      </c>
    </row>
    <row r="1312" spans="5:6" x14ac:dyDescent="0.3">
      <c r="E1312" s="38" t="s">
        <v>1153</v>
      </c>
      <c r="F1312" s="45" t="s">
        <v>89</v>
      </c>
    </row>
    <row r="1313" spans="5:6" x14ac:dyDescent="0.3">
      <c r="E1313" s="39" t="s">
        <v>1154</v>
      </c>
      <c r="F1313" s="46" t="s">
        <v>88</v>
      </c>
    </row>
    <row r="1314" spans="5:6" x14ac:dyDescent="0.3">
      <c r="E1314" s="38" t="s">
        <v>1155</v>
      </c>
      <c r="F1314" s="45" t="s">
        <v>88</v>
      </c>
    </row>
    <row r="1315" spans="5:6" x14ac:dyDescent="0.3">
      <c r="E1315" s="39" t="s">
        <v>1156</v>
      </c>
      <c r="F1315" s="46" t="s">
        <v>88</v>
      </c>
    </row>
    <row r="1316" spans="5:6" x14ac:dyDescent="0.3">
      <c r="E1316" s="38" t="s">
        <v>1157</v>
      </c>
      <c r="F1316" s="45" t="s">
        <v>88</v>
      </c>
    </row>
    <row r="1317" spans="5:6" x14ac:dyDescent="0.3">
      <c r="E1317" s="39" t="s">
        <v>357</v>
      </c>
      <c r="F1317" s="46" t="s">
        <v>88</v>
      </c>
    </row>
    <row r="1318" spans="5:6" x14ac:dyDescent="0.3">
      <c r="E1318" s="38" t="s">
        <v>1158</v>
      </c>
      <c r="F1318" s="45" t="s">
        <v>88</v>
      </c>
    </row>
    <row r="1319" spans="5:6" x14ac:dyDescent="0.3">
      <c r="E1319" s="39" t="s">
        <v>1159</v>
      </c>
      <c r="F1319" s="46" t="s">
        <v>88</v>
      </c>
    </row>
    <row r="1320" spans="5:6" x14ac:dyDescent="0.3">
      <c r="E1320" s="38" t="s">
        <v>731</v>
      </c>
      <c r="F1320" s="45" t="s">
        <v>88</v>
      </c>
    </row>
    <row r="1321" spans="5:6" x14ac:dyDescent="0.3">
      <c r="E1321" s="39" t="s">
        <v>1160</v>
      </c>
      <c r="F1321" s="46" t="s">
        <v>88</v>
      </c>
    </row>
    <row r="1322" spans="5:6" x14ac:dyDescent="0.3">
      <c r="E1322" s="38" t="s">
        <v>1161</v>
      </c>
      <c r="F1322" s="45" t="s">
        <v>88</v>
      </c>
    </row>
    <row r="1323" spans="5:6" x14ac:dyDescent="0.3">
      <c r="E1323" s="39" t="s">
        <v>733</v>
      </c>
      <c r="F1323" s="46" t="s">
        <v>88</v>
      </c>
    </row>
    <row r="1324" spans="5:6" x14ac:dyDescent="0.3">
      <c r="E1324" s="38" t="s">
        <v>1104</v>
      </c>
      <c r="F1324" s="45" t="s">
        <v>88</v>
      </c>
    </row>
    <row r="1325" spans="5:6" x14ac:dyDescent="0.3">
      <c r="E1325" s="39" t="s">
        <v>1162</v>
      </c>
      <c r="F1325" s="46" t="s">
        <v>88</v>
      </c>
    </row>
    <row r="1326" spans="5:6" x14ac:dyDescent="0.3">
      <c r="E1326" s="38" t="s">
        <v>260</v>
      </c>
      <c r="F1326" s="45" t="s">
        <v>88</v>
      </c>
    </row>
    <row r="1327" spans="5:6" x14ac:dyDescent="0.3">
      <c r="E1327" s="39" t="s">
        <v>710</v>
      </c>
      <c r="F1327" s="46" t="s">
        <v>88</v>
      </c>
    </row>
    <row r="1328" spans="5:6" x14ac:dyDescent="0.3">
      <c r="E1328" s="38" t="s">
        <v>609</v>
      </c>
      <c r="F1328" s="45" t="s">
        <v>88</v>
      </c>
    </row>
    <row r="1329" spans="5:6" x14ac:dyDescent="0.3">
      <c r="E1329" s="39" t="s">
        <v>1163</v>
      </c>
      <c r="F1329" s="46" t="s">
        <v>88</v>
      </c>
    </row>
    <row r="1330" spans="5:6" x14ac:dyDescent="0.3">
      <c r="E1330" s="38" t="s">
        <v>1164</v>
      </c>
      <c r="F1330" s="45" t="s">
        <v>88</v>
      </c>
    </row>
    <row r="1331" spans="5:6" x14ac:dyDescent="0.3">
      <c r="E1331" s="39" t="s">
        <v>1165</v>
      </c>
      <c r="F1331" s="46" t="s">
        <v>88</v>
      </c>
    </row>
    <row r="1332" spans="5:6" x14ac:dyDescent="0.3">
      <c r="E1332" s="38" t="s">
        <v>615</v>
      </c>
      <c r="F1332" s="45" t="s">
        <v>88</v>
      </c>
    </row>
    <row r="1333" spans="5:6" x14ac:dyDescent="0.3">
      <c r="E1333" s="39" t="s">
        <v>484</v>
      </c>
      <c r="F1333" s="46" t="s">
        <v>88</v>
      </c>
    </row>
    <row r="1334" spans="5:6" x14ac:dyDescent="0.3">
      <c r="E1334" s="38" t="s">
        <v>1166</v>
      </c>
      <c r="F1334" s="45" t="s">
        <v>88</v>
      </c>
    </row>
    <row r="1335" spans="5:6" x14ac:dyDescent="0.3">
      <c r="E1335" s="39" t="s">
        <v>1167</v>
      </c>
      <c r="F1335" s="46" t="s">
        <v>88</v>
      </c>
    </row>
    <row r="1336" spans="5:6" x14ac:dyDescent="0.3">
      <c r="E1336" s="38" t="s">
        <v>1168</v>
      </c>
      <c r="F1336" s="45" t="s">
        <v>88</v>
      </c>
    </row>
    <row r="1337" spans="5:6" x14ac:dyDescent="0.3">
      <c r="E1337" s="39" t="s">
        <v>1169</v>
      </c>
      <c r="F1337" s="46" t="s">
        <v>88</v>
      </c>
    </row>
    <row r="1338" spans="5:6" x14ac:dyDescent="0.3">
      <c r="E1338" s="38" t="s">
        <v>375</v>
      </c>
      <c r="F1338" s="45" t="s">
        <v>88</v>
      </c>
    </row>
    <row r="1339" spans="5:6" x14ac:dyDescent="0.3">
      <c r="E1339" s="39" t="s">
        <v>1170</v>
      </c>
      <c r="F1339" s="46" t="s">
        <v>88</v>
      </c>
    </row>
    <row r="1340" spans="5:6" x14ac:dyDescent="0.3">
      <c r="E1340" s="38" t="s">
        <v>281</v>
      </c>
      <c r="F1340" s="45" t="s">
        <v>88</v>
      </c>
    </row>
    <row r="1341" spans="5:6" x14ac:dyDescent="0.3">
      <c r="E1341" s="39" t="s">
        <v>1171</v>
      </c>
      <c r="F1341" s="46" t="s">
        <v>88</v>
      </c>
    </row>
    <row r="1342" spans="5:6" x14ac:dyDescent="0.3">
      <c r="E1342" s="38" t="s">
        <v>1172</v>
      </c>
      <c r="F1342" s="45" t="s">
        <v>88</v>
      </c>
    </row>
    <row r="1343" spans="5:6" x14ac:dyDescent="0.3">
      <c r="E1343" s="39" t="s">
        <v>1173</v>
      </c>
      <c r="F1343" s="46" t="s">
        <v>88</v>
      </c>
    </row>
    <row r="1344" spans="5:6" x14ac:dyDescent="0.3">
      <c r="E1344" s="38" t="s">
        <v>282</v>
      </c>
      <c r="F1344" s="45" t="s">
        <v>88</v>
      </c>
    </row>
    <row r="1345" spans="5:6" x14ac:dyDescent="0.3">
      <c r="E1345" s="39" t="s">
        <v>1174</v>
      </c>
      <c r="F1345" s="46" t="s">
        <v>88</v>
      </c>
    </row>
    <row r="1346" spans="5:6" x14ac:dyDescent="0.3">
      <c r="E1346" s="38" t="s">
        <v>1175</v>
      </c>
      <c r="F1346" s="45" t="s">
        <v>88</v>
      </c>
    </row>
    <row r="1347" spans="5:6" x14ac:dyDescent="0.3">
      <c r="E1347" s="39" t="s">
        <v>1176</v>
      </c>
      <c r="F1347" s="46" t="s">
        <v>88</v>
      </c>
    </row>
    <row r="1348" spans="5:6" x14ac:dyDescent="0.3">
      <c r="E1348" s="38" t="s">
        <v>1177</v>
      </c>
      <c r="F1348" s="45" t="s">
        <v>88</v>
      </c>
    </row>
    <row r="1349" spans="5:6" x14ac:dyDescent="0.3">
      <c r="E1349" s="39" t="s">
        <v>1178</v>
      </c>
      <c r="F1349" s="46" t="s">
        <v>88</v>
      </c>
    </row>
    <row r="1350" spans="5:6" x14ac:dyDescent="0.3">
      <c r="E1350" s="38" t="s">
        <v>427</v>
      </c>
      <c r="F1350" s="45" t="s">
        <v>88</v>
      </c>
    </row>
    <row r="1351" spans="5:6" x14ac:dyDescent="0.3">
      <c r="E1351" s="39" t="s">
        <v>1179</v>
      </c>
      <c r="F1351" s="46" t="s">
        <v>88</v>
      </c>
    </row>
    <row r="1352" spans="5:6" x14ac:dyDescent="0.3">
      <c r="E1352" s="38" t="s">
        <v>1180</v>
      </c>
      <c r="F1352" s="45" t="s">
        <v>88</v>
      </c>
    </row>
    <row r="1353" spans="5:6" x14ac:dyDescent="0.3">
      <c r="E1353" s="39" t="s">
        <v>383</v>
      </c>
      <c r="F1353" s="46" t="s">
        <v>88</v>
      </c>
    </row>
    <row r="1354" spans="5:6" x14ac:dyDescent="0.3">
      <c r="E1354" s="38" t="s">
        <v>848</v>
      </c>
      <c r="F1354" s="45" t="s">
        <v>88</v>
      </c>
    </row>
    <row r="1355" spans="5:6" x14ac:dyDescent="0.3">
      <c r="E1355" s="39" t="s">
        <v>1181</v>
      </c>
      <c r="F1355" s="46" t="s">
        <v>88</v>
      </c>
    </row>
    <row r="1356" spans="5:6" x14ac:dyDescent="0.3">
      <c r="E1356" s="38" t="s">
        <v>1182</v>
      </c>
      <c r="F1356" s="45" t="s">
        <v>88</v>
      </c>
    </row>
    <row r="1357" spans="5:6" x14ac:dyDescent="0.3">
      <c r="E1357" s="39" t="s">
        <v>294</v>
      </c>
      <c r="F1357" s="46" t="s">
        <v>88</v>
      </c>
    </row>
    <row r="1358" spans="5:6" x14ac:dyDescent="0.3">
      <c r="E1358" s="38" t="s">
        <v>564</v>
      </c>
      <c r="F1358" s="45" t="s">
        <v>88</v>
      </c>
    </row>
    <row r="1359" spans="5:6" x14ac:dyDescent="0.3">
      <c r="E1359" s="39" t="s">
        <v>1183</v>
      </c>
      <c r="F1359" s="46" t="s">
        <v>88</v>
      </c>
    </row>
    <row r="1360" spans="5:6" x14ac:dyDescent="0.3">
      <c r="E1360" s="38" t="s">
        <v>1184</v>
      </c>
      <c r="F1360" s="45" t="s">
        <v>88</v>
      </c>
    </row>
    <row r="1361" spans="5:6" x14ac:dyDescent="0.3">
      <c r="E1361" s="39" t="s">
        <v>1185</v>
      </c>
      <c r="F1361" s="46" t="s">
        <v>88</v>
      </c>
    </row>
    <row r="1362" spans="5:6" x14ac:dyDescent="0.3">
      <c r="E1362" s="38" t="s">
        <v>1186</v>
      </c>
      <c r="F1362" s="45" t="s">
        <v>88</v>
      </c>
    </row>
    <row r="1363" spans="5:6" x14ac:dyDescent="0.3">
      <c r="E1363" s="39" t="s">
        <v>652</v>
      </c>
      <c r="F1363" s="46" t="s">
        <v>88</v>
      </c>
    </row>
    <row r="1364" spans="5:6" x14ac:dyDescent="0.3">
      <c r="E1364" s="38" t="s">
        <v>1187</v>
      </c>
      <c r="F1364" s="45" t="s">
        <v>88</v>
      </c>
    </row>
    <row r="1365" spans="5:6" x14ac:dyDescent="0.3">
      <c r="E1365" s="39" t="s">
        <v>1188</v>
      </c>
      <c r="F1365" s="46" t="s">
        <v>88</v>
      </c>
    </row>
    <row r="1366" spans="5:6" x14ac:dyDescent="0.3">
      <c r="E1366" s="38" t="s">
        <v>1189</v>
      </c>
      <c r="F1366" s="45" t="s">
        <v>88</v>
      </c>
    </row>
    <row r="1367" spans="5:6" x14ac:dyDescent="0.3">
      <c r="E1367" s="39" t="s">
        <v>1190</v>
      </c>
      <c r="F1367" s="46" t="s">
        <v>88</v>
      </c>
    </row>
    <row r="1368" spans="5:6" x14ac:dyDescent="0.3">
      <c r="E1368" s="38" t="s">
        <v>1191</v>
      </c>
      <c r="F1368" s="45" t="s">
        <v>88</v>
      </c>
    </row>
    <row r="1369" spans="5:6" x14ac:dyDescent="0.3">
      <c r="E1369" s="39" t="s">
        <v>1192</v>
      </c>
      <c r="F1369" s="46" t="s">
        <v>88</v>
      </c>
    </row>
    <row r="1370" spans="5:6" x14ac:dyDescent="0.3">
      <c r="E1370" s="38" t="s">
        <v>1193</v>
      </c>
      <c r="F1370" s="45" t="s">
        <v>88</v>
      </c>
    </row>
    <row r="1371" spans="5:6" x14ac:dyDescent="0.3">
      <c r="E1371" s="39" t="s">
        <v>1194</v>
      </c>
      <c r="F1371" s="46" t="s">
        <v>88</v>
      </c>
    </row>
    <row r="1372" spans="5:6" x14ac:dyDescent="0.3">
      <c r="E1372" s="38" t="s">
        <v>394</v>
      </c>
      <c r="F1372" s="45" t="s">
        <v>88</v>
      </c>
    </row>
    <row r="1373" spans="5:6" x14ac:dyDescent="0.3">
      <c r="E1373" s="39" t="s">
        <v>395</v>
      </c>
      <c r="F1373" s="46" t="s">
        <v>88</v>
      </c>
    </row>
    <row r="1374" spans="5:6" x14ac:dyDescent="0.3">
      <c r="E1374" s="38" t="s">
        <v>1195</v>
      </c>
      <c r="F1374" s="45" t="s">
        <v>88</v>
      </c>
    </row>
    <row r="1375" spans="5:6" x14ac:dyDescent="0.3">
      <c r="E1375" s="39" t="s">
        <v>1196</v>
      </c>
      <c r="F1375" s="46" t="s">
        <v>88</v>
      </c>
    </row>
    <row r="1376" spans="5:6" x14ac:dyDescent="0.3">
      <c r="E1376" s="38" t="s">
        <v>1197</v>
      </c>
      <c r="F1376" s="45" t="s">
        <v>88</v>
      </c>
    </row>
    <row r="1377" spans="5:6" x14ac:dyDescent="0.3">
      <c r="E1377" s="39" t="s">
        <v>1198</v>
      </c>
      <c r="F1377" s="46" t="s">
        <v>88</v>
      </c>
    </row>
    <row r="1378" spans="5:6" x14ac:dyDescent="0.3">
      <c r="E1378" s="38" t="s">
        <v>917</v>
      </c>
      <c r="F1378" s="45" t="s">
        <v>88</v>
      </c>
    </row>
    <row r="1379" spans="5:6" x14ac:dyDescent="0.3">
      <c r="E1379" s="39" t="s">
        <v>1199</v>
      </c>
      <c r="F1379" s="46" t="s">
        <v>88</v>
      </c>
    </row>
    <row r="1380" spans="5:6" x14ac:dyDescent="0.3">
      <c r="E1380" s="38" t="s">
        <v>1200</v>
      </c>
      <c r="F1380" s="45" t="s">
        <v>88</v>
      </c>
    </row>
    <row r="1381" spans="5:6" x14ac:dyDescent="0.3">
      <c r="E1381" s="39" t="s">
        <v>1201</v>
      </c>
      <c r="F1381" s="46" t="s">
        <v>88</v>
      </c>
    </row>
    <row r="1382" spans="5:6" x14ac:dyDescent="0.3">
      <c r="E1382" s="38" t="s">
        <v>400</v>
      </c>
      <c r="F1382" s="45" t="s">
        <v>88</v>
      </c>
    </row>
    <row r="1383" spans="5:6" x14ac:dyDescent="0.3">
      <c r="E1383" s="39" t="s">
        <v>1202</v>
      </c>
      <c r="F1383" s="46" t="s">
        <v>88</v>
      </c>
    </row>
    <row r="1384" spans="5:6" x14ac:dyDescent="0.3">
      <c r="E1384" s="38" t="s">
        <v>1203</v>
      </c>
      <c r="F1384" s="45" t="s">
        <v>88</v>
      </c>
    </row>
    <row r="1385" spans="5:6" x14ac:dyDescent="0.3">
      <c r="E1385" s="39" t="s">
        <v>1204</v>
      </c>
      <c r="F1385" s="46" t="s">
        <v>88</v>
      </c>
    </row>
    <row r="1386" spans="5:6" x14ac:dyDescent="0.3">
      <c r="E1386" s="38" t="s">
        <v>1205</v>
      </c>
      <c r="F1386" s="45" t="s">
        <v>88</v>
      </c>
    </row>
    <row r="1387" spans="5:6" x14ac:dyDescent="0.3">
      <c r="E1387" s="39" t="s">
        <v>927</v>
      </c>
      <c r="F1387" s="46" t="s">
        <v>88</v>
      </c>
    </row>
    <row r="1388" spans="5:6" x14ac:dyDescent="0.3">
      <c r="E1388" s="38" t="s">
        <v>1206</v>
      </c>
      <c r="F1388" s="45" t="s">
        <v>88</v>
      </c>
    </row>
    <row r="1389" spans="5:6" x14ac:dyDescent="0.3">
      <c r="E1389" s="39" t="s">
        <v>987</v>
      </c>
      <c r="F1389" s="46" t="s">
        <v>88</v>
      </c>
    </row>
    <row r="1390" spans="5:6" x14ac:dyDescent="0.3">
      <c r="E1390" s="38" t="s">
        <v>1207</v>
      </c>
      <c r="F1390" s="45" t="s">
        <v>88</v>
      </c>
    </row>
    <row r="1391" spans="5:6" x14ac:dyDescent="0.3">
      <c r="E1391" s="39" t="s">
        <v>1208</v>
      </c>
      <c r="F1391" s="46" t="s">
        <v>88</v>
      </c>
    </row>
    <row r="1392" spans="5:6" x14ac:dyDescent="0.3">
      <c r="E1392" s="38" t="s">
        <v>1209</v>
      </c>
      <c r="F1392" s="45" t="s">
        <v>88</v>
      </c>
    </row>
    <row r="1393" spans="5:6" x14ac:dyDescent="0.3">
      <c r="E1393" s="39" t="s">
        <v>1210</v>
      </c>
      <c r="F1393" s="46" t="s">
        <v>88</v>
      </c>
    </row>
    <row r="1394" spans="5:6" x14ac:dyDescent="0.3">
      <c r="E1394" s="38" t="s">
        <v>311</v>
      </c>
      <c r="F1394" s="45" t="s">
        <v>88</v>
      </c>
    </row>
    <row r="1395" spans="5:6" x14ac:dyDescent="0.3">
      <c r="E1395" s="39" t="s">
        <v>1211</v>
      </c>
      <c r="F1395" s="46" t="s">
        <v>88</v>
      </c>
    </row>
    <row r="1396" spans="5:6" x14ac:dyDescent="0.3">
      <c r="E1396" s="38" t="s">
        <v>1212</v>
      </c>
      <c r="F1396" s="45" t="s">
        <v>88</v>
      </c>
    </row>
    <row r="1397" spans="5:6" x14ac:dyDescent="0.3">
      <c r="E1397" s="39" t="s">
        <v>1213</v>
      </c>
      <c r="F1397" s="46" t="s">
        <v>88</v>
      </c>
    </row>
    <row r="1398" spans="5:6" x14ac:dyDescent="0.3">
      <c r="E1398" s="38" t="s">
        <v>868</v>
      </c>
      <c r="F1398" s="45" t="s">
        <v>88</v>
      </c>
    </row>
    <row r="1399" spans="5:6" x14ac:dyDescent="0.3">
      <c r="E1399" s="39" t="s">
        <v>1214</v>
      </c>
      <c r="F1399" s="46" t="s">
        <v>88</v>
      </c>
    </row>
    <row r="1400" spans="5:6" x14ac:dyDescent="0.3">
      <c r="E1400" s="38" t="s">
        <v>467</v>
      </c>
      <c r="F1400" s="45" t="s">
        <v>87</v>
      </c>
    </row>
    <row r="1401" spans="5:6" x14ac:dyDescent="0.3">
      <c r="E1401" s="39" t="s">
        <v>1215</v>
      </c>
      <c r="F1401" s="46" t="s">
        <v>87</v>
      </c>
    </row>
    <row r="1402" spans="5:6" x14ac:dyDescent="0.3">
      <c r="E1402" s="38" t="s">
        <v>1216</v>
      </c>
      <c r="F1402" s="45" t="s">
        <v>87</v>
      </c>
    </row>
    <row r="1403" spans="5:6" x14ac:dyDescent="0.3">
      <c r="E1403" s="39" t="s">
        <v>1217</v>
      </c>
      <c r="F1403" s="46" t="s">
        <v>87</v>
      </c>
    </row>
    <row r="1404" spans="5:6" x14ac:dyDescent="0.3">
      <c r="E1404" s="38" t="s">
        <v>357</v>
      </c>
      <c r="F1404" s="45" t="s">
        <v>87</v>
      </c>
    </row>
    <row r="1405" spans="5:6" x14ac:dyDescent="0.3">
      <c r="E1405" s="39" t="s">
        <v>1218</v>
      </c>
      <c r="F1405" s="46" t="s">
        <v>87</v>
      </c>
    </row>
    <row r="1406" spans="5:6" x14ac:dyDescent="0.3">
      <c r="E1406" s="38" t="s">
        <v>254</v>
      </c>
      <c r="F1406" s="45" t="s">
        <v>87</v>
      </c>
    </row>
    <row r="1407" spans="5:6" x14ac:dyDescent="0.3">
      <c r="E1407" s="39" t="s">
        <v>360</v>
      </c>
      <c r="F1407" s="46" t="s">
        <v>87</v>
      </c>
    </row>
    <row r="1408" spans="5:6" x14ac:dyDescent="0.3">
      <c r="E1408" s="38" t="s">
        <v>834</v>
      </c>
      <c r="F1408" s="45" t="s">
        <v>87</v>
      </c>
    </row>
    <row r="1409" spans="5:6" x14ac:dyDescent="0.3">
      <c r="E1409" s="39" t="s">
        <v>258</v>
      </c>
      <c r="F1409" s="46" t="s">
        <v>87</v>
      </c>
    </row>
    <row r="1410" spans="5:6" x14ac:dyDescent="0.3">
      <c r="E1410" s="38" t="s">
        <v>1219</v>
      </c>
      <c r="F1410" s="45" t="s">
        <v>87</v>
      </c>
    </row>
    <row r="1411" spans="5:6" x14ac:dyDescent="0.3">
      <c r="E1411" s="39" t="s">
        <v>259</v>
      </c>
      <c r="F1411" s="46" t="s">
        <v>87</v>
      </c>
    </row>
    <row r="1412" spans="5:6" x14ac:dyDescent="0.3">
      <c r="E1412" s="38" t="s">
        <v>260</v>
      </c>
      <c r="F1412" s="45" t="s">
        <v>87</v>
      </c>
    </row>
    <row r="1413" spans="5:6" x14ac:dyDescent="0.3">
      <c r="E1413" s="39" t="s">
        <v>1220</v>
      </c>
      <c r="F1413" s="46" t="s">
        <v>87</v>
      </c>
    </row>
    <row r="1414" spans="5:6" x14ac:dyDescent="0.3">
      <c r="E1414" s="38" t="s">
        <v>1221</v>
      </c>
      <c r="F1414" s="45" t="s">
        <v>87</v>
      </c>
    </row>
    <row r="1415" spans="5:6" x14ac:dyDescent="0.3">
      <c r="E1415" s="39" t="s">
        <v>266</v>
      </c>
      <c r="F1415" s="46" t="s">
        <v>87</v>
      </c>
    </row>
    <row r="1416" spans="5:6" x14ac:dyDescent="0.3">
      <c r="E1416" s="38" t="s">
        <v>1222</v>
      </c>
      <c r="F1416" s="45" t="s">
        <v>87</v>
      </c>
    </row>
    <row r="1417" spans="5:6" x14ac:dyDescent="0.3">
      <c r="E1417" s="39" t="s">
        <v>1223</v>
      </c>
      <c r="F1417" s="46" t="s">
        <v>87</v>
      </c>
    </row>
    <row r="1418" spans="5:6" x14ac:dyDescent="0.3">
      <c r="E1418" s="38" t="s">
        <v>276</v>
      </c>
      <c r="F1418" s="45" t="s">
        <v>87</v>
      </c>
    </row>
    <row r="1419" spans="5:6" x14ac:dyDescent="0.3">
      <c r="E1419" s="39" t="s">
        <v>1224</v>
      </c>
      <c r="F1419" s="46" t="s">
        <v>87</v>
      </c>
    </row>
    <row r="1420" spans="5:6" x14ac:dyDescent="0.3">
      <c r="E1420" s="38" t="s">
        <v>278</v>
      </c>
      <c r="F1420" s="45" t="s">
        <v>87</v>
      </c>
    </row>
    <row r="1421" spans="5:6" x14ac:dyDescent="0.3">
      <c r="E1421" s="39" t="s">
        <v>1225</v>
      </c>
      <c r="F1421" s="46" t="s">
        <v>87</v>
      </c>
    </row>
    <row r="1422" spans="5:6" x14ac:dyDescent="0.3">
      <c r="E1422" s="38" t="s">
        <v>634</v>
      </c>
      <c r="F1422" s="45" t="s">
        <v>87</v>
      </c>
    </row>
    <row r="1423" spans="5:6" x14ac:dyDescent="0.3">
      <c r="E1423" s="39" t="s">
        <v>793</v>
      </c>
      <c r="F1423" s="46" t="s">
        <v>87</v>
      </c>
    </row>
    <row r="1424" spans="5:6" x14ac:dyDescent="0.3">
      <c r="E1424" s="38" t="s">
        <v>1226</v>
      </c>
      <c r="F1424" s="45" t="s">
        <v>87</v>
      </c>
    </row>
    <row r="1425" spans="5:6" x14ac:dyDescent="0.3">
      <c r="E1425" s="39" t="s">
        <v>558</v>
      </c>
      <c r="F1425" s="46" t="s">
        <v>87</v>
      </c>
    </row>
    <row r="1426" spans="5:6" x14ac:dyDescent="0.3">
      <c r="E1426" s="38" t="s">
        <v>1227</v>
      </c>
      <c r="F1426" s="45" t="s">
        <v>87</v>
      </c>
    </row>
    <row r="1427" spans="5:6" x14ac:dyDescent="0.3">
      <c r="E1427" s="39" t="s">
        <v>1228</v>
      </c>
      <c r="F1427" s="46" t="s">
        <v>87</v>
      </c>
    </row>
    <row r="1428" spans="5:6" x14ac:dyDescent="0.3">
      <c r="E1428" s="38" t="s">
        <v>1229</v>
      </c>
      <c r="F1428" s="45" t="s">
        <v>87</v>
      </c>
    </row>
    <row r="1429" spans="5:6" x14ac:dyDescent="0.3">
      <c r="E1429" s="39" t="s">
        <v>282</v>
      </c>
      <c r="F1429" s="46" t="s">
        <v>87</v>
      </c>
    </row>
    <row r="1430" spans="5:6" x14ac:dyDescent="0.3">
      <c r="E1430" s="38" t="s">
        <v>640</v>
      </c>
      <c r="F1430" s="45" t="s">
        <v>87</v>
      </c>
    </row>
    <row r="1431" spans="5:6" x14ac:dyDescent="0.3">
      <c r="E1431" s="39" t="s">
        <v>283</v>
      </c>
      <c r="F1431" s="46" t="s">
        <v>87</v>
      </c>
    </row>
    <row r="1432" spans="5:6" x14ac:dyDescent="0.3">
      <c r="E1432" s="38" t="s">
        <v>1230</v>
      </c>
      <c r="F1432" s="45" t="s">
        <v>87</v>
      </c>
    </row>
    <row r="1433" spans="5:6" x14ac:dyDescent="0.3">
      <c r="E1433" s="39" t="s">
        <v>643</v>
      </c>
      <c r="F1433" s="46" t="s">
        <v>87</v>
      </c>
    </row>
    <row r="1434" spans="5:6" x14ac:dyDescent="0.3">
      <c r="E1434" s="38" t="s">
        <v>1231</v>
      </c>
      <c r="F1434" s="45" t="s">
        <v>87</v>
      </c>
    </row>
    <row r="1435" spans="5:6" x14ac:dyDescent="0.3">
      <c r="E1435" s="39" t="s">
        <v>382</v>
      </c>
      <c r="F1435" s="46" t="s">
        <v>87</v>
      </c>
    </row>
    <row r="1436" spans="5:6" x14ac:dyDescent="0.3">
      <c r="E1436" s="38" t="s">
        <v>284</v>
      </c>
      <c r="F1436" s="45" t="s">
        <v>87</v>
      </c>
    </row>
    <row r="1437" spans="5:6" x14ac:dyDescent="0.3">
      <c r="E1437" s="39" t="s">
        <v>285</v>
      </c>
      <c r="F1437" s="46" t="s">
        <v>87</v>
      </c>
    </row>
    <row r="1438" spans="5:6" x14ac:dyDescent="0.3">
      <c r="E1438" s="38" t="s">
        <v>286</v>
      </c>
      <c r="F1438" s="45" t="s">
        <v>87</v>
      </c>
    </row>
    <row r="1439" spans="5:6" x14ac:dyDescent="0.3">
      <c r="E1439" s="39" t="s">
        <v>1232</v>
      </c>
      <c r="F1439" s="46" t="s">
        <v>87</v>
      </c>
    </row>
    <row r="1440" spans="5:6" x14ac:dyDescent="0.3">
      <c r="E1440" s="38" t="s">
        <v>287</v>
      </c>
      <c r="F1440" s="45" t="s">
        <v>87</v>
      </c>
    </row>
    <row r="1441" spans="5:6" x14ac:dyDescent="0.3">
      <c r="E1441" s="39" t="s">
        <v>1233</v>
      </c>
      <c r="F1441" s="46" t="s">
        <v>87</v>
      </c>
    </row>
    <row r="1442" spans="5:6" x14ac:dyDescent="0.3">
      <c r="E1442" s="38" t="s">
        <v>383</v>
      </c>
      <c r="F1442" s="45" t="s">
        <v>87</v>
      </c>
    </row>
    <row r="1443" spans="5:6" x14ac:dyDescent="0.3">
      <c r="E1443" s="39" t="s">
        <v>289</v>
      </c>
      <c r="F1443" s="46" t="s">
        <v>87</v>
      </c>
    </row>
    <row r="1444" spans="5:6" x14ac:dyDescent="0.3">
      <c r="E1444" s="38" t="s">
        <v>291</v>
      </c>
      <c r="F1444" s="45" t="s">
        <v>87</v>
      </c>
    </row>
    <row r="1445" spans="5:6" x14ac:dyDescent="0.3">
      <c r="E1445" s="39" t="s">
        <v>293</v>
      </c>
      <c r="F1445" s="46" t="s">
        <v>87</v>
      </c>
    </row>
    <row r="1446" spans="5:6" x14ac:dyDescent="0.3">
      <c r="E1446" s="38" t="s">
        <v>294</v>
      </c>
      <c r="F1446" s="45" t="s">
        <v>87</v>
      </c>
    </row>
    <row r="1447" spans="5:6" x14ac:dyDescent="0.3">
      <c r="E1447" s="39" t="s">
        <v>296</v>
      </c>
      <c r="F1447" s="46" t="s">
        <v>87</v>
      </c>
    </row>
    <row r="1448" spans="5:6" x14ac:dyDescent="0.3">
      <c r="E1448" s="38" t="s">
        <v>297</v>
      </c>
      <c r="F1448" s="45" t="s">
        <v>87</v>
      </c>
    </row>
    <row r="1449" spans="5:6" x14ac:dyDescent="0.3">
      <c r="E1449" s="39" t="s">
        <v>1234</v>
      </c>
      <c r="F1449" s="46" t="s">
        <v>87</v>
      </c>
    </row>
    <row r="1450" spans="5:6" x14ac:dyDescent="0.3">
      <c r="E1450" s="38" t="s">
        <v>390</v>
      </c>
      <c r="F1450" s="45" t="s">
        <v>87</v>
      </c>
    </row>
    <row r="1451" spans="5:6" x14ac:dyDescent="0.3">
      <c r="E1451" s="39" t="s">
        <v>1235</v>
      </c>
      <c r="F1451" s="46" t="s">
        <v>87</v>
      </c>
    </row>
    <row r="1452" spans="5:6" x14ac:dyDescent="0.3">
      <c r="E1452" s="38" t="s">
        <v>1236</v>
      </c>
      <c r="F1452" s="45" t="s">
        <v>87</v>
      </c>
    </row>
    <row r="1453" spans="5:6" x14ac:dyDescent="0.3">
      <c r="E1453" s="39" t="s">
        <v>1237</v>
      </c>
      <c r="F1453" s="46" t="s">
        <v>87</v>
      </c>
    </row>
    <row r="1454" spans="5:6" x14ac:dyDescent="0.3">
      <c r="E1454" s="38" t="s">
        <v>1238</v>
      </c>
      <c r="F1454" s="45" t="s">
        <v>87</v>
      </c>
    </row>
    <row r="1455" spans="5:6" x14ac:dyDescent="0.3">
      <c r="E1455" s="39" t="s">
        <v>299</v>
      </c>
      <c r="F1455" s="46" t="s">
        <v>87</v>
      </c>
    </row>
    <row r="1456" spans="5:6" x14ac:dyDescent="0.3">
      <c r="E1456" s="38" t="s">
        <v>301</v>
      </c>
      <c r="F1456" s="45" t="s">
        <v>87</v>
      </c>
    </row>
    <row r="1457" spans="5:6" x14ac:dyDescent="0.3">
      <c r="E1457" s="39" t="s">
        <v>1239</v>
      </c>
      <c r="F1457" s="46" t="s">
        <v>87</v>
      </c>
    </row>
    <row r="1458" spans="5:6" x14ac:dyDescent="0.3">
      <c r="E1458" s="38" t="s">
        <v>1240</v>
      </c>
      <c r="F1458" s="45" t="s">
        <v>87</v>
      </c>
    </row>
    <row r="1459" spans="5:6" x14ac:dyDescent="0.3">
      <c r="E1459" s="39" t="s">
        <v>659</v>
      </c>
      <c r="F1459" s="46" t="s">
        <v>87</v>
      </c>
    </row>
    <row r="1460" spans="5:6" x14ac:dyDescent="0.3">
      <c r="E1460" s="38" t="s">
        <v>1241</v>
      </c>
      <c r="F1460" s="45" t="s">
        <v>87</v>
      </c>
    </row>
    <row r="1461" spans="5:6" x14ac:dyDescent="0.3">
      <c r="E1461" s="39" t="s">
        <v>400</v>
      </c>
      <c r="F1461" s="46" t="s">
        <v>87</v>
      </c>
    </row>
    <row r="1462" spans="5:6" x14ac:dyDescent="0.3">
      <c r="E1462" s="38" t="s">
        <v>1242</v>
      </c>
      <c r="F1462" s="45" t="s">
        <v>87</v>
      </c>
    </row>
    <row r="1463" spans="5:6" x14ac:dyDescent="0.3">
      <c r="E1463" s="39" t="s">
        <v>986</v>
      </c>
      <c r="F1463" s="46" t="s">
        <v>87</v>
      </c>
    </row>
    <row r="1464" spans="5:6" x14ac:dyDescent="0.3">
      <c r="E1464" s="38" t="s">
        <v>924</v>
      </c>
      <c r="F1464" s="45" t="s">
        <v>87</v>
      </c>
    </row>
    <row r="1465" spans="5:6" x14ac:dyDescent="0.3">
      <c r="E1465" s="39" t="s">
        <v>405</v>
      </c>
      <c r="F1465" s="46" t="s">
        <v>87</v>
      </c>
    </row>
    <row r="1466" spans="5:6" x14ac:dyDescent="0.3">
      <c r="E1466" s="38" t="s">
        <v>1243</v>
      </c>
      <c r="F1466" s="45" t="s">
        <v>87</v>
      </c>
    </row>
    <row r="1467" spans="5:6" x14ac:dyDescent="0.3">
      <c r="E1467" s="39" t="s">
        <v>1244</v>
      </c>
      <c r="F1467" s="46" t="s">
        <v>87</v>
      </c>
    </row>
    <row r="1468" spans="5:6" x14ac:dyDescent="0.3">
      <c r="E1468" s="38" t="s">
        <v>1245</v>
      </c>
      <c r="F1468" s="45" t="s">
        <v>87</v>
      </c>
    </row>
    <row r="1469" spans="5:6" x14ac:dyDescent="0.3">
      <c r="E1469" s="39" t="s">
        <v>1246</v>
      </c>
      <c r="F1469" s="46" t="s">
        <v>87</v>
      </c>
    </row>
    <row r="1470" spans="5:6" x14ac:dyDescent="0.3">
      <c r="E1470" s="38" t="s">
        <v>1247</v>
      </c>
      <c r="F1470" s="45" t="s">
        <v>87</v>
      </c>
    </row>
    <row r="1471" spans="5:6" x14ac:dyDescent="0.3">
      <c r="E1471" s="39" t="s">
        <v>1248</v>
      </c>
      <c r="F1471" s="46" t="s">
        <v>87</v>
      </c>
    </row>
    <row r="1472" spans="5:6" x14ac:dyDescent="0.3">
      <c r="E1472" s="38" t="s">
        <v>406</v>
      </c>
      <c r="F1472" s="45" t="s">
        <v>87</v>
      </c>
    </row>
    <row r="1473" spans="5:6" x14ac:dyDescent="0.3">
      <c r="E1473" s="39" t="s">
        <v>1249</v>
      </c>
      <c r="F1473" s="46" t="s">
        <v>87</v>
      </c>
    </row>
    <row r="1474" spans="5:6" x14ac:dyDescent="0.3">
      <c r="E1474" s="38" t="s">
        <v>683</v>
      </c>
      <c r="F1474" s="45" t="s">
        <v>87</v>
      </c>
    </row>
    <row r="1475" spans="5:6" x14ac:dyDescent="0.3">
      <c r="E1475" s="39" t="s">
        <v>311</v>
      </c>
      <c r="F1475" s="46" t="s">
        <v>87</v>
      </c>
    </row>
    <row r="1476" spans="5:6" x14ac:dyDescent="0.3">
      <c r="E1476" s="38" t="s">
        <v>684</v>
      </c>
      <c r="F1476" s="45" t="s">
        <v>87</v>
      </c>
    </row>
    <row r="1477" spans="5:6" x14ac:dyDescent="0.3">
      <c r="E1477" s="39" t="s">
        <v>685</v>
      </c>
      <c r="F1477" s="46" t="s">
        <v>87</v>
      </c>
    </row>
    <row r="1478" spans="5:6" x14ac:dyDescent="0.3">
      <c r="E1478" s="38" t="s">
        <v>689</v>
      </c>
      <c r="F1478" s="45" t="s">
        <v>87</v>
      </c>
    </row>
    <row r="1479" spans="5:6" x14ac:dyDescent="0.3">
      <c r="E1479" s="39" t="s">
        <v>313</v>
      </c>
      <c r="F1479" s="46" t="s">
        <v>87</v>
      </c>
    </row>
    <row r="1480" spans="5:6" x14ac:dyDescent="0.3">
      <c r="E1480" s="38" t="s">
        <v>1250</v>
      </c>
      <c r="F1480" s="45" t="s">
        <v>87</v>
      </c>
    </row>
    <row r="1481" spans="5:6" x14ac:dyDescent="0.3">
      <c r="E1481" s="39" t="s">
        <v>1251</v>
      </c>
      <c r="F1481" s="46" t="s">
        <v>87</v>
      </c>
    </row>
    <row r="1482" spans="5:6" x14ac:dyDescent="0.3">
      <c r="E1482" s="38" t="s">
        <v>824</v>
      </c>
      <c r="F1482" s="45" t="s">
        <v>86</v>
      </c>
    </row>
    <row r="1483" spans="5:6" x14ac:dyDescent="0.3">
      <c r="E1483" s="39" t="s">
        <v>1252</v>
      </c>
      <c r="F1483" s="46" t="s">
        <v>86</v>
      </c>
    </row>
    <row r="1484" spans="5:6" x14ac:dyDescent="0.3">
      <c r="E1484" s="38" t="s">
        <v>870</v>
      </c>
      <c r="F1484" s="45" t="s">
        <v>86</v>
      </c>
    </row>
    <row r="1485" spans="5:6" x14ac:dyDescent="0.3">
      <c r="E1485" s="39" t="s">
        <v>1253</v>
      </c>
      <c r="F1485" s="46" t="s">
        <v>86</v>
      </c>
    </row>
    <row r="1486" spans="5:6" x14ac:dyDescent="0.3">
      <c r="E1486" s="38" t="s">
        <v>1099</v>
      </c>
      <c r="F1486" s="45" t="s">
        <v>86</v>
      </c>
    </row>
    <row r="1487" spans="5:6" x14ac:dyDescent="0.3">
      <c r="E1487" s="39" t="s">
        <v>872</v>
      </c>
      <c r="F1487" s="46" t="s">
        <v>86</v>
      </c>
    </row>
    <row r="1488" spans="5:6" x14ac:dyDescent="0.3">
      <c r="E1488" s="38" t="s">
        <v>1254</v>
      </c>
      <c r="F1488" s="45" t="s">
        <v>86</v>
      </c>
    </row>
    <row r="1489" spans="5:6" x14ac:dyDescent="0.3">
      <c r="E1489" s="39" t="s">
        <v>357</v>
      </c>
      <c r="F1489" s="46" t="s">
        <v>86</v>
      </c>
    </row>
    <row r="1490" spans="5:6" x14ac:dyDescent="0.3">
      <c r="E1490" s="38" t="s">
        <v>1255</v>
      </c>
      <c r="F1490" s="45" t="s">
        <v>86</v>
      </c>
    </row>
    <row r="1491" spans="5:6" x14ac:dyDescent="0.3">
      <c r="E1491" s="39" t="s">
        <v>358</v>
      </c>
      <c r="F1491" s="46" t="s">
        <v>86</v>
      </c>
    </row>
    <row r="1492" spans="5:6" x14ac:dyDescent="0.3">
      <c r="E1492" s="38" t="s">
        <v>830</v>
      </c>
      <c r="F1492" s="45" t="s">
        <v>86</v>
      </c>
    </row>
    <row r="1493" spans="5:6" x14ac:dyDescent="0.3">
      <c r="E1493" s="39" t="s">
        <v>253</v>
      </c>
      <c r="F1493" s="46" t="s">
        <v>86</v>
      </c>
    </row>
    <row r="1494" spans="5:6" x14ac:dyDescent="0.3">
      <c r="E1494" s="38" t="s">
        <v>946</v>
      </c>
      <c r="F1494" s="45" t="s">
        <v>86</v>
      </c>
    </row>
    <row r="1495" spans="5:6" x14ac:dyDescent="0.3">
      <c r="E1495" s="39" t="s">
        <v>1256</v>
      </c>
      <c r="F1495" s="46" t="s">
        <v>86</v>
      </c>
    </row>
    <row r="1496" spans="5:6" x14ac:dyDescent="0.3">
      <c r="E1496" s="38" t="s">
        <v>598</v>
      </c>
      <c r="F1496" s="45" t="s">
        <v>86</v>
      </c>
    </row>
    <row r="1497" spans="5:6" x14ac:dyDescent="0.3">
      <c r="E1497" s="39" t="s">
        <v>1257</v>
      </c>
      <c r="F1497" s="46" t="s">
        <v>86</v>
      </c>
    </row>
    <row r="1498" spans="5:6" x14ac:dyDescent="0.3">
      <c r="E1498" s="38" t="s">
        <v>360</v>
      </c>
      <c r="F1498" s="45" t="s">
        <v>86</v>
      </c>
    </row>
    <row r="1499" spans="5:6" x14ac:dyDescent="0.3">
      <c r="E1499" s="39" t="s">
        <v>950</v>
      </c>
      <c r="F1499" s="46" t="s">
        <v>86</v>
      </c>
    </row>
    <row r="1500" spans="5:6" x14ac:dyDescent="0.3">
      <c r="E1500" s="38" t="s">
        <v>733</v>
      </c>
      <c r="F1500" s="45" t="s">
        <v>86</v>
      </c>
    </row>
    <row r="1501" spans="5:6" x14ac:dyDescent="0.3">
      <c r="E1501" s="39" t="s">
        <v>832</v>
      </c>
      <c r="F1501" s="46" t="s">
        <v>86</v>
      </c>
    </row>
    <row r="1502" spans="5:6" x14ac:dyDescent="0.3">
      <c r="E1502" s="38" t="s">
        <v>1258</v>
      </c>
      <c r="F1502" s="45" t="s">
        <v>86</v>
      </c>
    </row>
    <row r="1503" spans="5:6" x14ac:dyDescent="0.3">
      <c r="E1503" s="39" t="s">
        <v>735</v>
      </c>
      <c r="F1503" s="46" t="s">
        <v>86</v>
      </c>
    </row>
    <row r="1504" spans="5:6" x14ac:dyDescent="0.3">
      <c r="E1504" s="38" t="s">
        <v>362</v>
      </c>
      <c r="F1504" s="45" t="s">
        <v>86</v>
      </c>
    </row>
    <row r="1505" spans="5:6" x14ac:dyDescent="0.3">
      <c r="E1505" s="39" t="s">
        <v>260</v>
      </c>
      <c r="F1505" s="46" t="s">
        <v>86</v>
      </c>
    </row>
    <row r="1506" spans="5:6" x14ac:dyDescent="0.3">
      <c r="E1506" s="38" t="s">
        <v>736</v>
      </c>
      <c r="F1506" s="45" t="s">
        <v>86</v>
      </c>
    </row>
    <row r="1507" spans="5:6" x14ac:dyDescent="0.3">
      <c r="E1507" s="39" t="s">
        <v>1259</v>
      </c>
      <c r="F1507" s="46" t="s">
        <v>86</v>
      </c>
    </row>
    <row r="1508" spans="5:6" x14ac:dyDescent="0.3">
      <c r="E1508" s="38" t="s">
        <v>1260</v>
      </c>
      <c r="F1508" s="45" t="s">
        <v>86</v>
      </c>
    </row>
    <row r="1509" spans="5:6" x14ac:dyDescent="0.3">
      <c r="E1509" s="39" t="s">
        <v>367</v>
      </c>
      <c r="F1509" s="46" t="s">
        <v>86</v>
      </c>
    </row>
    <row r="1510" spans="5:6" x14ac:dyDescent="0.3">
      <c r="E1510" s="38" t="s">
        <v>543</v>
      </c>
      <c r="F1510" s="45" t="s">
        <v>86</v>
      </c>
    </row>
    <row r="1511" spans="5:6" x14ac:dyDescent="0.3">
      <c r="E1511" s="39" t="s">
        <v>270</v>
      </c>
      <c r="F1511" s="46" t="s">
        <v>86</v>
      </c>
    </row>
    <row r="1512" spans="5:6" x14ac:dyDescent="0.3">
      <c r="E1512" s="38" t="s">
        <v>786</v>
      </c>
      <c r="F1512" s="45" t="s">
        <v>86</v>
      </c>
    </row>
    <row r="1513" spans="5:6" x14ac:dyDescent="0.3">
      <c r="E1513" s="39" t="s">
        <v>271</v>
      </c>
      <c r="F1513" s="46" t="s">
        <v>86</v>
      </c>
    </row>
    <row r="1514" spans="5:6" x14ac:dyDescent="0.3">
      <c r="E1514" s="38" t="s">
        <v>1261</v>
      </c>
      <c r="F1514" s="45" t="s">
        <v>86</v>
      </c>
    </row>
    <row r="1515" spans="5:6" x14ac:dyDescent="0.3">
      <c r="E1515" s="39" t="s">
        <v>484</v>
      </c>
      <c r="F1515" s="46" t="s">
        <v>86</v>
      </c>
    </row>
    <row r="1516" spans="5:6" x14ac:dyDescent="0.3">
      <c r="E1516" s="38" t="s">
        <v>1262</v>
      </c>
      <c r="F1516" s="45" t="s">
        <v>86</v>
      </c>
    </row>
    <row r="1517" spans="5:6" x14ac:dyDescent="0.3">
      <c r="E1517" s="39" t="s">
        <v>276</v>
      </c>
      <c r="F1517" s="46" t="s">
        <v>86</v>
      </c>
    </row>
    <row r="1518" spans="5:6" x14ac:dyDescent="0.3">
      <c r="E1518" s="38" t="s">
        <v>1263</v>
      </c>
      <c r="F1518" s="45" t="s">
        <v>86</v>
      </c>
    </row>
    <row r="1519" spans="5:6" x14ac:dyDescent="0.3">
      <c r="E1519" s="39" t="s">
        <v>1264</v>
      </c>
      <c r="F1519" s="46" t="s">
        <v>86</v>
      </c>
    </row>
    <row r="1520" spans="5:6" x14ac:dyDescent="0.3">
      <c r="E1520" s="38" t="s">
        <v>278</v>
      </c>
      <c r="F1520" s="45" t="s">
        <v>86</v>
      </c>
    </row>
    <row r="1521" spans="5:6" x14ac:dyDescent="0.3">
      <c r="E1521" s="39" t="s">
        <v>745</v>
      </c>
      <c r="F1521" s="46" t="s">
        <v>86</v>
      </c>
    </row>
    <row r="1522" spans="5:6" x14ac:dyDescent="0.3">
      <c r="E1522" s="38" t="s">
        <v>793</v>
      </c>
      <c r="F1522" s="45" t="s">
        <v>86</v>
      </c>
    </row>
    <row r="1523" spans="5:6" x14ac:dyDescent="0.3">
      <c r="E1523" s="39" t="s">
        <v>280</v>
      </c>
      <c r="F1523" s="46" t="s">
        <v>86</v>
      </c>
    </row>
    <row r="1524" spans="5:6" x14ac:dyDescent="0.3">
      <c r="E1524" s="38" t="s">
        <v>1265</v>
      </c>
      <c r="F1524" s="45" t="s">
        <v>86</v>
      </c>
    </row>
    <row r="1525" spans="5:6" x14ac:dyDescent="0.3">
      <c r="E1525" s="39" t="s">
        <v>1266</v>
      </c>
      <c r="F1525" s="46" t="s">
        <v>86</v>
      </c>
    </row>
    <row r="1526" spans="5:6" x14ac:dyDescent="0.3">
      <c r="E1526" s="38" t="s">
        <v>378</v>
      </c>
      <c r="F1526" s="45" t="s">
        <v>86</v>
      </c>
    </row>
    <row r="1527" spans="5:6" x14ac:dyDescent="0.3">
      <c r="E1527" s="39" t="s">
        <v>1267</v>
      </c>
      <c r="F1527" s="46" t="s">
        <v>86</v>
      </c>
    </row>
    <row r="1528" spans="5:6" x14ac:dyDescent="0.3">
      <c r="E1528" s="38" t="s">
        <v>1118</v>
      </c>
      <c r="F1528" s="45" t="s">
        <v>86</v>
      </c>
    </row>
    <row r="1529" spans="5:6" x14ac:dyDescent="0.3">
      <c r="E1529" s="39" t="s">
        <v>282</v>
      </c>
      <c r="F1529" s="46" t="s">
        <v>86</v>
      </c>
    </row>
    <row r="1530" spans="5:6" x14ac:dyDescent="0.3">
      <c r="E1530" s="38" t="s">
        <v>640</v>
      </c>
      <c r="F1530" s="45" t="s">
        <v>86</v>
      </c>
    </row>
    <row r="1531" spans="5:6" x14ac:dyDescent="0.3">
      <c r="E1531" s="39" t="s">
        <v>283</v>
      </c>
      <c r="F1531" s="46" t="s">
        <v>86</v>
      </c>
    </row>
    <row r="1532" spans="5:6" x14ac:dyDescent="0.3">
      <c r="E1532" s="38" t="s">
        <v>381</v>
      </c>
      <c r="F1532" s="45" t="s">
        <v>86</v>
      </c>
    </row>
    <row r="1533" spans="5:6" x14ac:dyDescent="0.3">
      <c r="E1533" s="39" t="s">
        <v>754</v>
      </c>
      <c r="F1533" s="46" t="s">
        <v>86</v>
      </c>
    </row>
    <row r="1534" spans="5:6" x14ac:dyDescent="0.3">
      <c r="E1534" s="38" t="s">
        <v>1268</v>
      </c>
      <c r="F1534" s="45" t="s">
        <v>86</v>
      </c>
    </row>
    <row r="1535" spans="5:6" x14ac:dyDescent="0.3">
      <c r="E1535" s="39" t="s">
        <v>382</v>
      </c>
      <c r="F1535" s="46" t="s">
        <v>86</v>
      </c>
    </row>
    <row r="1536" spans="5:6" x14ac:dyDescent="0.3">
      <c r="E1536" s="38" t="s">
        <v>286</v>
      </c>
      <c r="F1536" s="45" t="s">
        <v>86</v>
      </c>
    </row>
    <row r="1537" spans="5:6" x14ac:dyDescent="0.3">
      <c r="E1537" s="39" t="s">
        <v>718</v>
      </c>
      <c r="F1537" s="46" t="s">
        <v>86</v>
      </c>
    </row>
    <row r="1538" spans="5:6" x14ac:dyDescent="0.3">
      <c r="E1538" s="38" t="s">
        <v>383</v>
      </c>
      <c r="F1538" s="45" t="s">
        <v>86</v>
      </c>
    </row>
    <row r="1539" spans="5:6" x14ac:dyDescent="0.3">
      <c r="E1539" s="39" t="s">
        <v>845</v>
      </c>
      <c r="F1539" s="46" t="s">
        <v>86</v>
      </c>
    </row>
    <row r="1540" spans="5:6" x14ac:dyDescent="0.3">
      <c r="E1540" s="38" t="s">
        <v>756</v>
      </c>
      <c r="F1540" s="45" t="s">
        <v>86</v>
      </c>
    </row>
    <row r="1541" spans="5:6" x14ac:dyDescent="0.3">
      <c r="E1541" s="39" t="s">
        <v>1269</v>
      </c>
      <c r="F1541" s="46" t="s">
        <v>86</v>
      </c>
    </row>
    <row r="1542" spans="5:6" x14ac:dyDescent="0.3">
      <c r="E1542" s="38" t="s">
        <v>290</v>
      </c>
      <c r="F1542" s="45" t="s">
        <v>86</v>
      </c>
    </row>
    <row r="1543" spans="5:6" x14ac:dyDescent="0.3">
      <c r="E1543" s="39" t="s">
        <v>291</v>
      </c>
      <c r="F1543" s="46" t="s">
        <v>86</v>
      </c>
    </row>
    <row r="1544" spans="5:6" x14ac:dyDescent="0.3">
      <c r="E1544" s="38" t="s">
        <v>1270</v>
      </c>
      <c r="F1544" s="45" t="s">
        <v>86</v>
      </c>
    </row>
    <row r="1545" spans="5:6" x14ac:dyDescent="0.3">
      <c r="E1545" s="39" t="s">
        <v>293</v>
      </c>
      <c r="F1545" s="46" t="s">
        <v>86</v>
      </c>
    </row>
    <row r="1546" spans="5:6" x14ac:dyDescent="0.3">
      <c r="E1546" s="38" t="s">
        <v>764</v>
      </c>
      <c r="F1546" s="45" t="s">
        <v>86</v>
      </c>
    </row>
    <row r="1547" spans="5:6" x14ac:dyDescent="0.3">
      <c r="E1547" s="39" t="s">
        <v>387</v>
      </c>
      <c r="F1547" s="46" t="s">
        <v>86</v>
      </c>
    </row>
    <row r="1548" spans="5:6" x14ac:dyDescent="0.3">
      <c r="E1548" s="38" t="s">
        <v>388</v>
      </c>
      <c r="F1548" s="45" t="s">
        <v>86</v>
      </c>
    </row>
    <row r="1549" spans="5:6" x14ac:dyDescent="0.3">
      <c r="E1549" s="39" t="s">
        <v>1271</v>
      </c>
      <c r="F1549" s="46" t="s">
        <v>86</v>
      </c>
    </row>
    <row r="1550" spans="5:6" x14ac:dyDescent="0.3">
      <c r="E1550" s="38" t="s">
        <v>296</v>
      </c>
      <c r="F1550" s="45" t="s">
        <v>86</v>
      </c>
    </row>
    <row r="1551" spans="5:6" x14ac:dyDescent="0.3">
      <c r="E1551" s="39" t="s">
        <v>297</v>
      </c>
      <c r="F1551" s="46" t="s">
        <v>86</v>
      </c>
    </row>
    <row r="1552" spans="5:6" x14ac:dyDescent="0.3">
      <c r="E1552" s="38" t="s">
        <v>298</v>
      </c>
      <c r="F1552" s="45" t="s">
        <v>86</v>
      </c>
    </row>
    <row r="1553" spans="5:6" x14ac:dyDescent="0.3">
      <c r="E1553" s="39" t="s">
        <v>1272</v>
      </c>
      <c r="F1553" s="46" t="s">
        <v>86</v>
      </c>
    </row>
    <row r="1554" spans="5:6" x14ac:dyDescent="0.3">
      <c r="E1554" s="38" t="s">
        <v>390</v>
      </c>
      <c r="F1554" s="45" t="s">
        <v>86</v>
      </c>
    </row>
    <row r="1555" spans="5:6" x14ac:dyDescent="0.3">
      <c r="E1555" s="39" t="s">
        <v>1273</v>
      </c>
      <c r="F1555" s="46" t="s">
        <v>86</v>
      </c>
    </row>
    <row r="1556" spans="5:6" x14ac:dyDescent="0.3">
      <c r="E1556" s="38" t="s">
        <v>1274</v>
      </c>
      <c r="F1556" s="45" t="s">
        <v>86</v>
      </c>
    </row>
    <row r="1557" spans="5:6" x14ac:dyDescent="0.3">
      <c r="E1557" s="39" t="s">
        <v>908</v>
      </c>
      <c r="F1557" s="46" t="s">
        <v>86</v>
      </c>
    </row>
    <row r="1558" spans="5:6" x14ac:dyDescent="0.3">
      <c r="E1558" s="38" t="s">
        <v>1275</v>
      </c>
      <c r="F1558" s="45" t="s">
        <v>86</v>
      </c>
    </row>
    <row r="1559" spans="5:6" x14ac:dyDescent="0.3">
      <c r="E1559" s="39" t="s">
        <v>1276</v>
      </c>
      <c r="F1559" s="46" t="s">
        <v>86</v>
      </c>
    </row>
    <row r="1560" spans="5:6" x14ac:dyDescent="0.3">
      <c r="E1560" s="38" t="s">
        <v>299</v>
      </c>
      <c r="F1560" s="45" t="s">
        <v>86</v>
      </c>
    </row>
    <row r="1561" spans="5:6" x14ac:dyDescent="0.3">
      <c r="E1561" s="39" t="s">
        <v>1277</v>
      </c>
      <c r="F1561" s="46" t="s">
        <v>86</v>
      </c>
    </row>
    <row r="1562" spans="5:6" x14ac:dyDescent="0.3">
      <c r="E1562" s="38" t="s">
        <v>1278</v>
      </c>
      <c r="F1562" s="45" t="s">
        <v>86</v>
      </c>
    </row>
    <row r="1563" spans="5:6" x14ac:dyDescent="0.3">
      <c r="E1563" s="39" t="s">
        <v>301</v>
      </c>
      <c r="F1563" s="46" t="s">
        <v>86</v>
      </c>
    </row>
    <row r="1564" spans="5:6" x14ac:dyDescent="0.3">
      <c r="E1564" s="38" t="s">
        <v>1279</v>
      </c>
      <c r="F1564" s="45" t="s">
        <v>86</v>
      </c>
    </row>
    <row r="1565" spans="5:6" x14ac:dyDescent="0.3">
      <c r="E1565" s="39" t="s">
        <v>394</v>
      </c>
      <c r="F1565" s="46" t="s">
        <v>86</v>
      </c>
    </row>
    <row r="1566" spans="5:6" x14ac:dyDescent="0.3">
      <c r="E1566" s="38" t="s">
        <v>397</v>
      </c>
      <c r="F1566" s="45" t="s">
        <v>86</v>
      </c>
    </row>
    <row r="1567" spans="5:6" x14ac:dyDescent="0.3">
      <c r="E1567" s="39" t="s">
        <v>572</v>
      </c>
      <c r="F1567" s="46" t="s">
        <v>86</v>
      </c>
    </row>
    <row r="1568" spans="5:6" x14ac:dyDescent="0.3">
      <c r="E1568" s="38" t="s">
        <v>1280</v>
      </c>
      <c r="F1568" s="45" t="s">
        <v>86</v>
      </c>
    </row>
    <row r="1569" spans="5:6" x14ac:dyDescent="0.3">
      <c r="E1569" s="39" t="s">
        <v>302</v>
      </c>
      <c r="F1569" s="46" t="s">
        <v>86</v>
      </c>
    </row>
    <row r="1570" spans="5:6" x14ac:dyDescent="0.3">
      <c r="E1570" s="38" t="s">
        <v>1281</v>
      </c>
      <c r="F1570" s="45" t="s">
        <v>86</v>
      </c>
    </row>
    <row r="1571" spans="5:6" x14ac:dyDescent="0.3">
      <c r="E1571" s="39" t="s">
        <v>1282</v>
      </c>
      <c r="F1571" s="46" t="s">
        <v>86</v>
      </c>
    </row>
    <row r="1572" spans="5:6" x14ac:dyDescent="0.3">
      <c r="E1572" s="38" t="s">
        <v>808</v>
      </c>
      <c r="F1572" s="45" t="s">
        <v>86</v>
      </c>
    </row>
    <row r="1573" spans="5:6" x14ac:dyDescent="0.3">
      <c r="E1573" s="39" t="s">
        <v>1283</v>
      </c>
      <c r="F1573" s="46" t="s">
        <v>86</v>
      </c>
    </row>
    <row r="1574" spans="5:6" x14ac:dyDescent="0.3">
      <c r="E1574" s="38" t="s">
        <v>304</v>
      </c>
      <c r="F1574" s="45" t="s">
        <v>86</v>
      </c>
    </row>
    <row r="1575" spans="5:6" x14ac:dyDescent="0.3">
      <c r="E1575" s="39" t="s">
        <v>1284</v>
      </c>
      <c r="F1575" s="46" t="s">
        <v>86</v>
      </c>
    </row>
    <row r="1576" spans="5:6" x14ac:dyDescent="0.3">
      <c r="E1576" s="38" t="s">
        <v>1285</v>
      </c>
      <c r="F1576" s="45" t="s">
        <v>86</v>
      </c>
    </row>
    <row r="1577" spans="5:6" x14ac:dyDescent="0.3">
      <c r="E1577" s="39" t="s">
        <v>1201</v>
      </c>
      <c r="F1577" s="46" t="s">
        <v>86</v>
      </c>
    </row>
    <row r="1578" spans="5:6" x14ac:dyDescent="0.3">
      <c r="E1578" s="38" t="s">
        <v>399</v>
      </c>
      <c r="F1578" s="45" t="s">
        <v>86</v>
      </c>
    </row>
    <row r="1579" spans="5:6" x14ac:dyDescent="0.3">
      <c r="E1579" s="39" t="s">
        <v>772</v>
      </c>
      <c r="F1579" s="46" t="s">
        <v>86</v>
      </c>
    </row>
    <row r="1580" spans="5:6" x14ac:dyDescent="0.3">
      <c r="E1580" s="38" t="s">
        <v>1286</v>
      </c>
      <c r="F1580" s="45" t="s">
        <v>86</v>
      </c>
    </row>
    <row r="1581" spans="5:6" x14ac:dyDescent="0.3">
      <c r="E1581" s="39" t="s">
        <v>400</v>
      </c>
      <c r="F1581" s="46" t="s">
        <v>86</v>
      </c>
    </row>
    <row r="1582" spans="5:6" x14ac:dyDescent="0.3">
      <c r="E1582" s="38" t="s">
        <v>1287</v>
      </c>
      <c r="F1582" s="45" t="s">
        <v>86</v>
      </c>
    </row>
    <row r="1583" spans="5:6" x14ac:dyDescent="0.3">
      <c r="E1583" s="39" t="s">
        <v>305</v>
      </c>
      <c r="F1583" s="46" t="s">
        <v>86</v>
      </c>
    </row>
    <row r="1584" spans="5:6" x14ac:dyDescent="0.3">
      <c r="E1584" s="38" t="s">
        <v>1288</v>
      </c>
      <c r="F1584" s="45" t="s">
        <v>86</v>
      </c>
    </row>
    <row r="1585" spans="5:6" x14ac:dyDescent="0.3">
      <c r="E1585" s="39" t="s">
        <v>405</v>
      </c>
      <c r="F1585" s="46" t="s">
        <v>86</v>
      </c>
    </row>
    <row r="1586" spans="5:6" x14ac:dyDescent="0.3">
      <c r="E1586" s="38" t="s">
        <v>814</v>
      </c>
      <c r="F1586" s="45" t="s">
        <v>86</v>
      </c>
    </row>
    <row r="1587" spans="5:6" x14ac:dyDescent="0.3">
      <c r="E1587" s="39" t="s">
        <v>1289</v>
      </c>
      <c r="F1587" s="46" t="s">
        <v>86</v>
      </c>
    </row>
    <row r="1588" spans="5:6" x14ac:dyDescent="0.3">
      <c r="E1588" s="38" t="s">
        <v>1290</v>
      </c>
      <c r="F1588" s="45" t="s">
        <v>86</v>
      </c>
    </row>
    <row r="1589" spans="5:6" x14ac:dyDescent="0.3">
      <c r="E1589" s="39" t="s">
        <v>1291</v>
      </c>
      <c r="F1589" s="46" t="s">
        <v>86</v>
      </c>
    </row>
    <row r="1590" spans="5:6" x14ac:dyDescent="0.3">
      <c r="E1590" s="38" t="s">
        <v>683</v>
      </c>
      <c r="F1590" s="45" t="s">
        <v>86</v>
      </c>
    </row>
    <row r="1591" spans="5:6" x14ac:dyDescent="0.3">
      <c r="E1591" s="39" t="s">
        <v>311</v>
      </c>
      <c r="F1591" s="46" t="s">
        <v>86</v>
      </c>
    </row>
    <row r="1592" spans="5:6" x14ac:dyDescent="0.3">
      <c r="E1592" s="38" t="s">
        <v>684</v>
      </c>
      <c r="F1592" s="45" t="s">
        <v>86</v>
      </c>
    </row>
    <row r="1593" spans="5:6" x14ac:dyDescent="0.3">
      <c r="E1593" s="39" t="s">
        <v>685</v>
      </c>
      <c r="F1593" s="46" t="s">
        <v>86</v>
      </c>
    </row>
    <row r="1594" spans="5:6" x14ac:dyDescent="0.3">
      <c r="E1594" s="38" t="s">
        <v>690</v>
      </c>
      <c r="F1594" s="45" t="s">
        <v>86</v>
      </c>
    </row>
    <row r="1595" spans="5:6" x14ac:dyDescent="0.3">
      <c r="E1595" s="39" t="s">
        <v>868</v>
      </c>
      <c r="F1595" s="46" t="s">
        <v>86</v>
      </c>
    </row>
    <row r="1596" spans="5:6" x14ac:dyDescent="0.3">
      <c r="E1596" s="38" t="s">
        <v>1292</v>
      </c>
      <c r="F1596" s="45" t="s">
        <v>86</v>
      </c>
    </row>
    <row r="1597" spans="5:6" x14ac:dyDescent="0.3">
      <c r="E1597" s="39" t="s">
        <v>1293</v>
      </c>
      <c r="F1597" s="46" t="s">
        <v>85</v>
      </c>
    </row>
    <row r="1598" spans="5:6" x14ac:dyDescent="0.3">
      <c r="E1598" s="38" t="s">
        <v>1294</v>
      </c>
      <c r="F1598" s="45" t="s">
        <v>85</v>
      </c>
    </row>
    <row r="1599" spans="5:6" x14ac:dyDescent="0.3">
      <c r="E1599" s="39" t="s">
        <v>701</v>
      </c>
      <c r="F1599" s="46" t="s">
        <v>85</v>
      </c>
    </row>
    <row r="1600" spans="5:6" x14ac:dyDescent="0.3">
      <c r="E1600" s="38" t="s">
        <v>1295</v>
      </c>
      <c r="F1600" s="45" t="s">
        <v>85</v>
      </c>
    </row>
    <row r="1601" spans="5:6" x14ac:dyDescent="0.3">
      <c r="E1601" s="39" t="s">
        <v>1296</v>
      </c>
      <c r="F1601" s="46" t="s">
        <v>85</v>
      </c>
    </row>
    <row r="1602" spans="5:6" x14ac:dyDescent="0.3">
      <c r="E1602" s="38" t="s">
        <v>950</v>
      </c>
      <c r="F1602" s="45" t="s">
        <v>85</v>
      </c>
    </row>
    <row r="1603" spans="5:6" x14ac:dyDescent="0.3">
      <c r="E1603" s="39" t="s">
        <v>1297</v>
      </c>
      <c r="F1603" s="46" t="s">
        <v>85</v>
      </c>
    </row>
    <row r="1604" spans="5:6" x14ac:dyDescent="0.3">
      <c r="E1604" s="38" t="s">
        <v>1298</v>
      </c>
      <c r="F1604" s="45" t="s">
        <v>85</v>
      </c>
    </row>
    <row r="1605" spans="5:6" x14ac:dyDescent="0.3">
      <c r="E1605" s="39" t="s">
        <v>480</v>
      </c>
      <c r="F1605" s="46" t="s">
        <v>85</v>
      </c>
    </row>
    <row r="1606" spans="5:6" x14ac:dyDescent="0.3">
      <c r="E1606" s="38" t="s">
        <v>1299</v>
      </c>
      <c r="F1606" s="45" t="s">
        <v>85</v>
      </c>
    </row>
    <row r="1607" spans="5:6" x14ac:dyDescent="0.3">
      <c r="E1607" s="39" t="s">
        <v>612</v>
      </c>
      <c r="F1607" s="46" t="s">
        <v>85</v>
      </c>
    </row>
    <row r="1608" spans="5:6" x14ac:dyDescent="0.3">
      <c r="E1608" s="38" t="s">
        <v>1300</v>
      </c>
      <c r="F1608" s="45" t="s">
        <v>85</v>
      </c>
    </row>
    <row r="1609" spans="5:6" x14ac:dyDescent="0.3">
      <c r="E1609" s="39" t="s">
        <v>1301</v>
      </c>
      <c r="F1609" s="46" t="s">
        <v>85</v>
      </c>
    </row>
    <row r="1610" spans="5:6" x14ac:dyDescent="0.3">
      <c r="E1610" s="38" t="s">
        <v>1302</v>
      </c>
      <c r="F1610" s="45" t="s">
        <v>85</v>
      </c>
    </row>
    <row r="1611" spans="5:6" x14ac:dyDescent="0.3">
      <c r="E1611" s="39" t="s">
        <v>1303</v>
      </c>
      <c r="F1611" s="46" t="s">
        <v>85</v>
      </c>
    </row>
    <row r="1612" spans="5:6" x14ac:dyDescent="0.3">
      <c r="E1612" s="38" t="s">
        <v>744</v>
      </c>
      <c r="F1612" s="45" t="s">
        <v>85</v>
      </c>
    </row>
    <row r="1613" spans="5:6" x14ac:dyDescent="0.3">
      <c r="E1613" s="39" t="s">
        <v>489</v>
      </c>
      <c r="F1613" s="46" t="s">
        <v>85</v>
      </c>
    </row>
    <row r="1614" spans="5:6" x14ac:dyDescent="0.3">
      <c r="E1614" s="38" t="s">
        <v>1304</v>
      </c>
      <c r="F1614" s="45" t="s">
        <v>85</v>
      </c>
    </row>
    <row r="1615" spans="5:6" x14ac:dyDescent="0.3">
      <c r="E1615" s="39" t="s">
        <v>1305</v>
      </c>
      <c r="F1615" s="46" t="s">
        <v>85</v>
      </c>
    </row>
    <row r="1616" spans="5:6" x14ac:dyDescent="0.3">
      <c r="E1616" s="38" t="s">
        <v>1306</v>
      </c>
      <c r="F1616" s="45" t="s">
        <v>85</v>
      </c>
    </row>
    <row r="1617" spans="5:6" x14ac:dyDescent="0.3">
      <c r="E1617" s="39" t="s">
        <v>1307</v>
      </c>
      <c r="F1617" s="46" t="s">
        <v>85</v>
      </c>
    </row>
    <row r="1618" spans="5:6" x14ac:dyDescent="0.3">
      <c r="E1618" s="38" t="s">
        <v>283</v>
      </c>
      <c r="F1618" s="45" t="s">
        <v>85</v>
      </c>
    </row>
    <row r="1619" spans="5:6" x14ac:dyDescent="0.3">
      <c r="E1619" s="39" t="s">
        <v>1308</v>
      </c>
      <c r="F1619" s="46" t="s">
        <v>85</v>
      </c>
    </row>
    <row r="1620" spans="5:6" x14ac:dyDescent="0.3">
      <c r="E1620" s="38" t="s">
        <v>427</v>
      </c>
      <c r="F1620" s="45" t="s">
        <v>85</v>
      </c>
    </row>
    <row r="1621" spans="5:6" x14ac:dyDescent="0.3">
      <c r="E1621" s="39" t="s">
        <v>1309</v>
      </c>
      <c r="F1621" s="46" t="s">
        <v>85</v>
      </c>
    </row>
    <row r="1622" spans="5:6" x14ac:dyDescent="0.3">
      <c r="E1622" s="38" t="s">
        <v>562</v>
      </c>
      <c r="F1622" s="45" t="s">
        <v>85</v>
      </c>
    </row>
    <row r="1623" spans="5:6" x14ac:dyDescent="0.3">
      <c r="E1623" s="39" t="s">
        <v>383</v>
      </c>
      <c r="F1623" s="46" t="s">
        <v>85</v>
      </c>
    </row>
    <row r="1624" spans="5:6" x14ac:dyDescent="0.3">
      <c r="E1624" s="38" t="s">
        <v>1310</v>
      </c>
      <c r="F1624" s="45" t="s">
        <v>85</v>
      </c>
    </row>
    <row r="1625" spans="5:6" x14ac:dyDescent="0.3">
      <c r="E1625" s="39" t="s">
        <v>291</v>
      </c>
      <c r="F1625" s="46" t="s">
        <v>85</v>
      </c>
    </row>
    <row r="1626" spans="5:6" x14ac:dyDescent="0.3">
      <c r="E1626" s="38" t="s">
        <v>1311</v>
      </c>
      <c r="F1626" s="45" t="s">
        <v>85</v>
      </c>
    </row>
    <row r="1627" spans="5:6" x14ac:dyDescent="0.3">
      <c r="E1627" s="39" t="s">
        <v>501</v>
      </c>
      <c r="F1627" s="46" t="s">
        <v>85</v>
      </c>
    </row>
    <row r="1628" spans="5:6" x14ac:dyDescent="0.3">
      <c r="E1628" s="38" t="s">
        <v>1312</v>
      </c>
      <c r="F1628" s="45" t="s">
        <v>85</v>
      </c>
    </row>
    <row r="1629" spans="5:6" x14ac:dyDescent="0.3">
      <c r="E1629" s="39" t="s">
        <v>1313</v>
      </c>
      <c r="F1629" s="46" t="s">
        <v>85</v>
      </c>
    </row>
    <row r="1630" spans="5:6" x14ac:dyDescent="0.3">
      <c r="E1630" s="38" t="s">
        <v>507</v>
      </c>
      <c r="F1630" s="45" t="s">
        <v>85</v>
      </c>
    </row>
    <row r="1631" spans="5:6" x14ac:dyDescent="0.3">
      <c r="E1631" s="39" t="s">
        <v>1314</v>
      </c>
      <c r="F1631" s="46" t="s">
        <v>85</v>
      </c>
    </row>
    <row r="1632" spans="5:6" x14ac:dyDescent="0.3">
      <c r="E1632" s="38" t="s">
        <v>392</v>
      </c>
      <c r="F1632" s="45" t="s">
        <v>85</v>
      </c>
    </row>
    <row r="1633" spans="5:6" x14ac:dyDescent="0.3">
      <c r="E1633" s="39" t="s">
        <v>1315</v>
      </c>
      <c r="F1633" s="46" t="s">
        <v>85</v>
      </c>
    </row>
    <row r="1634" spans="5:6" x14ac:dyDescent="0.3">
      <c r="E1634" s="38" t="s">
        <v>1316</v>
      </c>
      <c r="F1634" s="45" t="s">
        <v>85</v>
      </c>
    </row>
    <row r="1635" spans="5:6" x14ac:dyDescent="0.3">
      <c r="E1635" s="39" t="s">
        <v>982</v>
      </c>
      <c r="F1635" s="46" t="s">
        <v>85</v>
      </c>
    </row>
    <row r="1636" spans="5:6" x14ac:dyDescent="0.3">
      <c r="E1636" s="38" t="s">
        <v>396</v>
      </c>
      <c r="F1636" s="45" t="s">
        <v>85</v>
      </c>
    </row>
    <row r="1637" spans="5:6" x14ac:dyDescent="0.3">
      <c r="E1637" s="39" t="s">
        <v>1317</v>
      </c>
      <c r="F1637" s="46" t="s">
        <v>85</v>
      </c>
    </row>
    <row r="1638" spans="5:6" x14ac:dyDescent="0.3">
      <c r="E1638" s="38" t="s">
        <v>769</v>
      </c>
      <c r="F1638" s="45" t="s">
        <v>85</v>
      </c>
    </row>
    <row r="1639" spans="5:6" x14ac:dyDescent="0.3">
      <c r="E1639" s="39" t="s">
        <v>1318</v>
      </c>
      <c r="F1639" s="46" t="s">
        <v>85</v>
      </c>
    </row>
    <row r="1640" spans="5:6" x14ac:dyDescent="0.3">
      <c r="E1640" s="38" t="s">
        <v>1319</v>
      </c>
      <c r="F1640" s="45" t="s">
        <v>85</v>
      </c>
    </row>
    <row r="1641" spans="5:6" x14ac:dyDescent="0.3">
      <c r="E1641" s="39" t="s">
        <v>1320</v>
      </c>
      <c r="F1641" s="46" t="s">
        <v>85</v>
      </c>
    </row>
    <row r="1642" spans="5:6" x14ac:dyDescent="0.3">
      <c r="E1642" s="38" t="s">
        <v>922</v>
      </c>
      <c r="F1642" s="45" t="s">
        <v>85</v>
      </c>
    </row>
    <row r="1643" spans="5:6" x14ac:dyDescent="0.3">
      <c r="E1643" s="39" t="s">
        <v>1321</v>
      </c>
      <c r="F1643" s="46" t="s">
        <v>85</v>
      </c>
    </row>
    <row r="1644" spans="5:6" x14ac:dyDescent="0.3">
      <c r="E1644" s="38" t="s">
        <v>1322</v>
      </c>
      <c r="F1644" s="45" t="s">
        <v>85</v>
      </c>
    </row>
    <row r="1645" spans="5:6" x14ac:dyDescent="0.3">
      <c r="E1645" s="39" t="s">
        <v>1323</v>
      </c>
      <c r="F1645" s="46" t="s">
        <v>85</v>
      </c>
    </row>
    <row r="1646" spans="5:6" x14ac:dyDescent="0.3">
      <c r="E1646" s="38" t="s">
        <v>726</v>
      </c>
      <c r="F1646" s="45" t="s">
        <v>85</v>
      </c>
    </row>
    <row r="1647" spans="5:6" x14ac:dyDescent="0.3">
      <c r="E1647" s="39" t="s">
        <v>1324</v>
      </c>
      <c r="F1647" s="46" t="s">
        <v>85</v>
      </c>
    </row>
    <row r="1648" spans="5:6" x14ac:dyDescent="0.3">
      <c r="E1648" s="38" t="s">
        <v>1325</v>
      </c>
      <c r="F1648" s="45" t="s">
        <v>85</v>
      </c>
    </row>
    <row r="1649" spans="5:6" x14ac:dyDescent="0.3">
      <c r="E1649" s="39" t="s">
        <v>728</v>
      </c>
      <c r="F1649" s="46" t="s">
        <v>85</v>
      </c>
    </row>
    <row r="1650" spans="5:6" x14ac:dyDescent="0.3">
      <c r="E1650" s="38" t="s">
        <v>1326</v>
      </c>
      <c r="F1650" s="45" t="s">
        <v>85</v>
      </c>
    </row>
    <row r="1651" spans="5:6" x14ac:dyDescent="0.3">
      <c r="E1651" s="39" t="s">
        <v>1327</v>
      </c>
      <c r="F1651" s="46" t="s">
        <v>85</v>
      </c>
    </row>
    <row r="1652" spans="5:6" x14ac:dyDescent="0.3">
      <c r="E1652" s="38" t="s">
        <v>1328</v>
      </c>
      <c r="F1652" s="45" t="s">
        <v>85</v>
      </c>
    </row>
    <row r="1653" spans="5:6" x14ac:dyDescent="0.3">
      <c r="E1653" s="39" t="s">
        <v>1329</v>
      </c>
      <c r="F1653" s="46" t="s">
        <v>85</v>
      </c>
    </row>
    <row r="1654" spans="5:6" x14ac:dyDescent="0.3">
      <c r="E1654" s="38" t="s">
        <v>467</v>
      </c>
      <c r="F1654" s="45" t="s">
        <v>84</v>
      </c>
    </row>
    <row r="1655" spans="5:6" x14ac:dyDescent="0.3">
      <c r="E1655" s="39" t="s">
        <v>1330</v>
      </c>
      <c r="F1655" s="46" t="s">
        <v>84</v>
      </c>
    </row>
    <row r="1656" spans="5:6" x14ac:dyDescent="0.3">
      <c r="E1656" s="38" t="s">
        <v>1331</v>
      </c>
      <c r="F1656" s="45" t="s">
        <v>84</v>
      </c>
    </row>
    <row r="1657" spans="5:6" x14ac:dyDescent="0.3">
      <c r="E1657" s="39" t="s">
        <v>1332</v>
      </c>
      <c r="F1657" s="46" t="s">
        <v>84</v>
      </c>
    </row>
    <row r="1658" spans="5:6" x14ac:dyDescent="0.3">
      <c r="E1658" s="38" t="s">
        <v>701</v>
      </c>
      <c r="F1658" s="45" t="s">
        <v>84</v>
      </c>
    </row>
    <row r="1659" spans="5:6" x14ac:dyDescent="0.3">
      <c r="E1659" s="39" t="s">
        <v>358</v>
      </c>
      <c r="F1659" s="46" t="s">
        <v>84</v>
      </c>
    </row>
    <row r="1660" spans="5:6" x14ac:dyDescent="0.3">
      <c r="E1660" s="38" t="s">
        <v>1333</v>
      </c>
      <c r="F1660" s="45" t="s">
        <v>84</v>
      </c>
    </row>
    <row r="1661" spans="5:6" x14ac:dyDescent="0.3">
      <c r="E1661" s="39" t="s">
        <v>940</v>
      </c>
      <c r="F1661" s="46" t="s">
        <v>84</v>
      </c>
    </row>
    <row r="1662" spans="5:6" x14ac:dyDescent="0.3">
      <c r="E1662" s="38" t="s">
        <v>731</v>
      </c>
      <c r="F1662" s="45" t="s">
        <v>84</v>
      </c>
    </row>
    <row r="1663" spans="5:6" x14ac:dyDescent="0.3">
      <c r="E1663" s="39" t="s">
        <v>1334</v>
      </c>
      <c r="F1663" s="46" t="s">
        <v>84</v>
      </c>
    </row>
    <row r="1664" spans="5:6" x14ac:dyDescent="0.3">
      <c r="E1664" s="38" t="s">
        <v>1335</v>
      </c>
      <c r="F1664" s="45" t="s">
        <v>84</v>
      </c>
    </row>
    <row r="1665" spans="5:6" x14ac:dyDescent="0.3">
      <c r="E1665" s="39" t="s">
        <v>253</v>
      </c>
      <c r="F1665" s="46" t="s">
        <v>84</v>
      </c>
    </row>
    <row r="1666" spans="5:6" x14ac:dyDescent="0.3">
      <c r="E1666" s="38" t="s">
        <v>733</v>
      </c>
      <c r="F1666" s="45" t="s">
        <v>84</v>
      </c>
    </row>
    <row r="1667" spans="5:6" x14ac:dyDescent="0.3">
      <c r="E1667" s="39" t="s">
        <v>832</v>
      </c>
      <c r="F1667" s="46" t="s">
        <v>84</v>
      </c>
    </row>
    <row r="1668" spans="5:6" x14ac:dyDescent="0.3">
      <c r="E1668" s="38" t="s">
        <v>874</v>
      </c>
      <c r="F1668" s="45" t="s">
        <v>84</v>
      </c>
    </row>
    <row r="1669" spans="5:6" x14ac:dyDescent="0.3">
      <c r="E1669" s="39" t="s">
        <v>1336</v>
      </c>
      <c r="F1669" s="46" t="s">
        <v>84</v>
      </c>
    </row>
    <row r="1670" spans="5:6" x14ac:dyDescent="0.3">
      <c r="E1670" s="38" t="s">
        <v>475</v>
      </c>
      <c r="F1670" s="45" t="s">
        <v>84</v>
      </c>
    </row>
    <row r="1671" spans="5:6" x14ac:dyDescent="0.3">
      <c r="E1671" s="39" t="s">
        <v>260</v>
      </c>
      <c r="F1671" s="46" t="s">
        <v>84</v>
      </c>
    </row>
    <row r="1672" spans="5:6" x14ac:dyDescent="0.3">
      <c r="E1672" s="38" t="s">
        <v>1337</v>
      </c>
      <c r="F1672" s="45" t="s">
        <v>84</v>
      </c>
    </row>
    <row r="1673" spans="5:6" x14ac:dyDescent="0.3">
      <c r="E1673" s="39" t="s">
        <v>1338</v>
      </c>
      <c r="F1673" s="46" t="s">
        <v>84</v>
      </c>
    </row>
    <row r="1674" spans="5:6" x14ac:dyDescent="0.3">
      <c r="E1674" s="38" t="s">
        <v>480</v>
      </c>
      <c r="F1674" s="45" t="s">
        <v>84</v>
      </c>
    </row>
    <row r="1675" spans="5:6" x14ac:dyDescent="0.3">
      <c r="E1675" s="39" t="s">
        <v>1165</v>
      </c>
      <c r="F1675" s="46" t="s">
        <v>84</v>
      </c>
    </row>
    <row r="1676" spans="5:6" x14ac:dyDescent="0.3">
      <c r="E1676" s="38" t="s">
        <v>1339</v>
      </c>
      <c r="F1676" s="45" t="s">
        <v>84</v>
      </c>
    </row>
    <row r="1677" spans="5:6" x14ac:dyDescent="0.3">
      <c r="E1677" s="39" t="s">
        <v>612</v>
      </c>
      <c r="F1677" s="46" t="s">
        <v>84</v>
      </c>
    </row>
    <row r="1678" spans="5:6" x14ac:dyDescent="0.3">
      <c r="E1678" s="38" t="s">
        <v>1340</v>
      </c>
      <c r="F1678" s="45" t="s">
        <v>84</v>
      </c>
    </row>
    <row r="1679" spans="5:6" x14ac:dyDescent="0.3">
      <c r="E1679" s="39" t="s">
        <v>1341</v>
      </c>
      <c r="F1679" s="46" t="s">
        <v>84</v>
      </c>
    </row>
    <row r="1680" spans="5:6" x14ac:dyDescent="0.3">
      <c r="E1680" s="38" t="s">
        <v>615</v>
      </c>
      <c r="F1680" s="45" t="s">
        <v>84</v>
      </c>
    </row>
    <row r="1681" spans="5:6" x14ac:dyDescent="0.3">
      <c r="E1681" s="39" t="s">
        <v>484</v>
      </c>
      <c r="F1681" s="46" t="s">
        <v>84</v>
      </c>
    </row>
    <row r="1682" spans="5:6" x14ac:dyDescent="0.3">
      <c r="E1682" s="38" t="s">
        <v>1342</v>
      </c>
      <c r="F1682" s="45" t="s">
        <v>84</v>
      </c>
    </row>
    <row r="1683" spans="5:6" x14ac:dyDescent="0.3">
      <c r="E1683" s="39" t="s">
        <v>1167</v>
      </c>
      <c r="F1683" s="46" t="s">
        <v>84</v>
      </c>
    </row>
    <row r="1684" spans="5:6" x14ac:dyDescent="0.3">
      <c r="E1684" s="38" t="s">
        <v>276</v>
      </c>
      <c r="F1684" s="45" t="s">
        <v>84</v>
      </c>
    </row>
    <row r="1685" spans="5:6" x14ac:dyDescent="0.3">
      <c r="E1685" s="39" t="s">
        <v>1343</v>
      </c>
      <c r="F1685" s="46" t="s">
        <v>84</v>
      </c>
    </row>
    <row r="1686" spans="5:6" x14ac:dyDescent="0.3">
      <c r="E1686" s="38" t="s">
        <v>1344</v>
      </c>
      <c r="F1686" s="45" t="s">
        <v>84</v>
      </c>
    </row>
    <row r="1687" spans="5:6" x14ac:dyDescent="0.3">
      <c r="E1687" s="39" t="s">
        <v>1345</v>
      </c>
      <c r="F1687" s="46" t="s">
        <v>84</v>
      </c>
    </row>
    <row r="1688" spans="5:6" x14ac:dyDescent="0.3">
      <c r="E1688" s="38" t="s">
        <v>1346</v>
      </c>
      <c r="F1688" s="45" t="s">
        <v>84</v>
      </c>
    </row>
    <row r="1689" spans="5:6" x14ac:dyDescent="0.3">
      <c r="E1689" s="39" t="s">
        <v>489</v>
      </c>
      <c r="F1689" s="46" t="s">
        <v>84</v>
      </c>
    </row>
    <row r="1690" spans="5:6" x14ac:dyDescent="0.3">
      <c r="E1690" s="38" t="s">
        <v>1347</v>
      </c>
      <c r="F1690" s="45" t="s">
        <v>84</v>
      </c>
    </row>
    <row r="1691" spans="5:6" x14ac:dyDescent="0.3">
      <c r="E1691" s="39" t="s">
        <v>375</v>
      </c>
      <c r="F1691" s="46" t="s">
        <v>84</v>
      </c>
    </row>
    <row r="1692" spans="5:6" x14ac:dyDescent="0.3">
      <c r="E1692" s="38" t="s">
        <v>888</v>
      </c>
      <c r="F1692" s="45" t="s">
        <v>84</v>
      </c>
    </row>
    <row r="1693" spans="5:6" x14ac:dyDescent="0.3">
      <c r="E1693" s="39" t="s">
        <v>633</v>
      </c>
      <c r="F1693" s="46" t="s">
        <v>84</v>
      </c>
    </row>
    <row r="1694" spans="5:6" x14ac:dyDescent="0.3">
      <c r="E1694" s="38" t="s">
        <v>552</v>
      </c>
      <c r="F1694" s="45" t="s">
        <v>84</v>
      </c>
    </row>
    <row r="1695" spans="5:6" x14ac:dyDescent="0.3">
      <c r="E1695" s="39" t="s">
        <v>961</v>
      </c>
      <c r="F1695" s="46" t="s">
        <v>84</v>
      </c>
    </row>
    <row r="1696" spans="5:6" x14ac:dyDescent="0.3">
      <c r="E1696" s="38" t="s">
        <v>1348</v>
      </c>
      <c r="F1696" s="45" t="s">
        <v>84</v>
      </c>
    </row>
    <row r="1697" spans="5:6" x14ac:dyDescent="0.3">
      <c r="E1697" s="39" t="s">
        <v>1349</v>
      </c>
      <c r="F1697" s="46" t="s">
        <v>84</v>
      </c>
    </row>
    <row r="1698" spans="5:6" x14ac:dyDescent="0.3">
      <c r="E1698" s="38" t="s">
        <v>1266</v>
      </c>
      <c r="F1698" s="45" t="s">
        <v>84</v>
      </c>
    </row>
    <row r="1699" spans="5:6" x14ac:dyDescent="0.3">
      <c r="E1699" s="39" t="s">
        <v>1350</v>
      </c>
      <c r="F1699" s="46" t="s">
        <v>84</v>
      </c>
    </row>
    <row r="1700" spans="5:6" x14ac:dyDescent="0.3">
      <c r="E1700" s="38" t="s">
        <v>378</v>
      </c>
      <c r="F1700" s="45" t="s">
        <v>84</v>
      </c>
    </row>
    <row r="1701" spans="5:6" x14ac:dyDescent="0.3">
      <c r="E1701" s="39" t="s">
        <v>283</v>
      </c>
      <c r="F1701" s="46" t="s">
        <v>84</v>
      </c>
    </row>
    <row r="1702" spans="5:6" x14ac:dyDescent="0.3">
      <c r="E1702" s="38" t="s">
        <v>381</v>
      </c>
      <c r="F1702" s="45" t="s">
        <v>84</v>
      </c>
    </row>
    <row r="1703" spans="5:6" x14ac:dyDescent="0.3">
      <c r="E1703" s="39" t="s">
        <v>1351</v>
      </c>
      <c r="F1703" s="46" t="s">
        <v>84</v>
      </c>
    </row>
    <row r="1704" spans="5:6" x14ac:dyDescent="0.3">
      <c r="E1704" s="38" t="s">
        <v>1352</v>
      </c>
      <c r="F1704" s="45" t="s">
        <v>84</v>
      </c>
    </row>
    <row r="1705" spans="5:6" x14ac:dyDescent="0.3">
      <c r="E1705" s="39" t="s">
        <v>1353</v>
      </c>
      <c r="F1705" s="46" t="s">
        <v>84</v>
      </c>
    </row>
    <row r="1706" spans="5:6" x14ac:dyDescent="0.3">
      <c r="E1706" s="38" t="s">
        <v>1354</v>
      </c>
      <c r="F1706" s="45" t="s">
        <v>84</v>
      </c>
    </row>
    <row r="1707" spans="5:6" x14ac:dyDescent="0.3">
      <c r="E1707" s="39" t="s">
        <v>754</v>
      </c>
      <c r="F1707" s="46" t="s">
        <v>84</v>
      </c>
    </row>
    <row r="1708" spans="5:6" x14ac:dyDescent="0.3">
      <c r="E1708" s="38" t="s">
        <v>1355</v>
      </c>
      <c r="F1708" s="45" t="s">
        <v>84</v>
      </c>
    </row>
    <row r="1709" spans="5:6" x14ac:dyDescent="0.3">
      <c r="E1709" s="39" t="s">
        <v>383</v>
      </c>
      <c r="F1709" s="46" t="s">
        <v>84</v>
      </c>
    </row>
    <row r="1710" spans="5:6" x14ac:dyDescent="0.3">
      <c r="E1710" s="38" t="s">
        <v>385</v>
      </c>
      <c r="F1710" s="45" t="s">
        <v>84</v>
      </c>
    </row>
    <row r="1711" spans="5:6" x14ac:dyDescent="0.3">
      <c r="E1711" s="39" t="s">
        <v>1356</v>
      </c>
      <c r="F1711" s="46" t="s">
        <v>84</v>
      </c>
    </row>
    <row r="1712" spans="5:6" x14ac:dyDescent="0.3">
      <c r="E1712" s="38" t="s">
        <v>900</v>
      </c>
      <c r="F1712" s="45" t="s">
        <v>84</v>
      </c>
    </row>
    <row r="1713" spans="5:6" x14ac:dyDescent="0.3">
      <c r="E1713" s="39" t="s">
        <v>291</v>
      </c>
      <c r="F1713" s="46" t="s">
        <v>84</v>
      </c>
    </row>
    <row r="1714" spans="5:6" x14ac:dyDescent="0.3">
      <c r="E1714" s="38" t="s">
        <v>1357</v>
      </c>
      <c r="F1714" s="45" t="s">
        <v>84</v>
      </c>
    </row>
    <row r="1715" spans="5:6" x14ac:dyDescent="0.3">
      <c r="E1715" s="39" t="s">
        <v>1358</v>
      </c>
      <c r="F1715" s="46" t="s">
        <v>84</v>
      </c>
    </row>
    <row r="1716" spans="5:6" x14ac:dyDescent="0.3">
      <c r="E1716" s="38" t="s">
        <v>1359</v>
      </c>
      <c r="F1716" s="45" t="s">
        <v>84</v>
      </c>
    </row>
    <row r="1717" spans="5:6" x14ac:dyDescent="0.3">
      <c r="E1717" s="39" t="s">
        <v>904</v>
      </c>
      <c r="F1717" s="46" t="s">
        <v>84</v>
      </c>
    </row>
    <row r="1718" spans="5:6" x14ac:dyDescent="0.3">
      <c r="E1718" s="38" t="s">
        <v>1360</v>
      </c>
      <c r="F1718" s="45" t="s">
        <v>84</v>
      </c>
    </row>
    <row r="1719" spans="5:6" x14ac:dyDescent="0.3">
      <c r="E1719" s="39" t="s">
        <v>1361</v>
      </c>
      <c r="F1719" s="46" t="s">
        <v>84</v>
      </c>
    </row>
    <row r="1720" spans="5:6" x14ac:dyDescent="0.3">
      <c r="E1720" s="38" t="s">
        <v>911</v>
      </c>
      <c r="F1720" s="45" t="s">
        <v>84</v>
      </c>
    </row>
    <row r="1721" spans="5:6" x14ac:dyDescent="0.3">
      <c r="E1721" s="39" t="s">
        <v>1362</v>
      </c>
      <c r="F1721" s="46" t="s">
        <v>84</v>
      </c>
    </row>
    <row r="1722" spans="5:6" x14ac:dyDescent="0.3">
      <c r="E1722" s="38" t="s">
        <v>1278</v>
      </c>
      <c r="F1722" s="45" t="s">
        <v>84</v>
      </c>
    </row>
    <row r="1723" spans="5:6" x14ac:dyDescent="0.3">
      <c r="E1723" s="39" t="s">
        <v>658</v>
      </c>
      <c r="F1723" s="46" t="s">
        <v>84</v>
      </c>
    </row>
    <row r="1724" spans="5:6" x14ac:dyDescent="0.3">
      <c r="E1724" s="38" t="s">
        <v>1279</v>
      </c>
      <c r="F1724" s="45" t="s">
        <v>84</v>
      </c>
    </row>
    <row r="1725" spans="5:6" x14ac:dyDescent="0.3">
      <c r="E1725" s="39" t="s">
        <v>394</v>
      </c>
      <c r="F1725" s="46" t="s">
        <v>84</v>
      </c>
    </row>
    <row r="1726" spans="5:6" x14ac:dyDescent="0.3">
      <c r="E1726" s="38" t="s">
        <v>1363</v>
      </c>
      <c r="F1726" s="45" t="s">
        <v>84</v>
      </c>
    </row>
    <row r="1727" spans="5:6" x14ac:dyDescent="0.3">
      <c r="E1727" s="39" t="s">
        <v>1364</v>
      </c>
      <c r="F1727" s="46" t="s">
        <v>84</v>
      </c>
    </row>
    <row r="1728" spans="5:6" x14ac:dyDescent="0.3">
      <c r="E1728" s="38" t="s">
        <v>1199</v>
      </c>
      <c r="F1728" s="45" t="s">
        <v>84</v>
      </c>
    </row>
    <row r="1729" spans="5:6" x14ac:dyDescent="0.3">
      <c r="E1729" s="39" t="s">
        <v>399</v>
      </c>
      <c r="F1729" s="46" t="s">
        <v>84</v>
      </c>
    </row>
    <row r="1730" spans="5:6" x14ac:dyDescent="0.3">
      <c r="E1730" s="38" t="s">
        <v>1365</v>
      </c>
      <c r="F1730" s="45" t="s">
        <v>84</v>
      </c>
    </row>
    <row r="1731" spans="5:6" x14ac:dyDescent="0.3">
      <c r="E1731" s="39" t="s">
        <v>1366</v>
      </c>
      <c r="F1731" s="46" t="s">
        <v>84</v>
      </c>
    </row>
    <row r="1732" spans="5:6" x14ac:dyDescent="0.3">
      <c r="E1732" s="38" t="s">
        <v>1367</v>
      </c>
      <c r="F1732" s="45" t="s">
        <v>84</v>
      </c>
    </row>
    <row r="1733" spans="5:6" x14ac:dyDescent="0.3">
      <c r="E1733" s="39" t="s">
        <v>920</v>
      </c>
      <c r="F1733" s="46" t="s">
        <v>84</v>
      </c>
    </row>
    <row r="1734" spans="5:6" x14ac:dyDescent="0.3">
      <c r="E1734" s="38" t="s">
        <v>922</v>
      </c>
      <c r="F1734" s="45" t="s">
        <v>84</v>
      </c>
    </row>
    <row r="1735" spans="5:6" x14ac:dyDescent="0.3">
      <c r="E1735" s="39" t="s">
        <v>923</v>
      </c>
      <c r="F1735" s="46" t="s">
        <v>84</v>
      </c>
    </row>
    <row r="1736" spans="5:6" x14ac:dyDescent="0.3">
      <c r="E1736" s="38" t="s">
        <v>862</v>
      </c>
      <c r="F1736" s="45" t="s">
        <v>84</v>
      </c>
    </row>
    <row r="1737" spans="5:6" x14ac:dyDescent="0.3">
      <c r="E1737" s="39" t="s">
        <v>926</v>
      </c>
      <c r="F1737" s="46" t="s">
        <v>84</v>
      </c>
    </row>
    <row r="1738" spans="5:6" x14ac:dyDescent="0.3">
      <c r="E1738" s="38" t="s">
        <v>1368</v>
      </c>
      <c r="F1738" s="45" t="s">
        <v>84</v>
      </c>
    </row>
    <row r="1739" spans="5:6" x14ac:dyDescent="0.3">
      <c r="E1739" s="39" t="s">
        <v>673</v>
      </c>
      <c r="F1739" s="46" t="s">
        <v>84</v>
      </c>
    </row>
    <row r="1740" spans="5:6" x14ac:dyDescent="0.3">
      <c r="E1740" s="38" t="s">
        <v>1369</v>
      </c>
      <c r="F1740" s="45" t="s">
        <v>84</v>
      </c>
    </row>
    <row r="1741" spans="5:6" x14ac:dyDescent="0.3">
      <c r="E1741" s="39" t="s">
        <v>728</v>
      </c>
      <c r="F1741" s="46" t="s">
        <v>84</v>
      </c>
    </row>
    <row r="1742" spans="5:6" x14ac:dyDescent="0.3">
      <c r="E1742" s="38" t="s">
        <v>311</v>
      </c>
      <c r="F1742" s="45" t="s">
        <v>84</v>
      </c>
    </row>
    <row r="1743" spans="5:6" x14ac:dyDescent="0.3">
      <c r="E1743" s="39" t="s">
        <v>684</v>
      </c>
      <c r="F1743" s="46" t="s">
        <v>84</v>
      </c>
    </row>
    <row r="1744" spans="5:6" x14ac:dyDescent="0.3">
      <c r="E1744" s="38" t="s">
        <v>685</v>
      </c>
      <c r="F1744" s="45" t="s">
        <v>84</v>
      </c>
    </row>
    <row r="1745" spans="5:6" x14ac:dyDescent="0.3">
      <c r="E1745" s="39" t="s">
        <v>686</v>
      </c>
      <c r="F1745" s="46" t="s">
        <v>84</v>
      </c>
    </row>
    <row r="1746" spans="5:6" x14ac:dyDescent="0.3">
      <c r="E1746" s="38" t="s">
        <v>1064</v>
      </c>
      <c r="F1746" s="45" t="s">
        <v>84</v>
      </c>
    </row>
    <row r="1747" spans="5:6" x14ac:dyDescent="0.3">
      <c r="E1747" s="39" t="s">
        <v>1370</v>
      </c>
      <c r="F1747" s="46" t="s">
        <v>83</v>
      </c>
    </row>
    <row r="1748" spans="5:6" x14ac:dyDescent="0.3">
      <c r="E1748" s="38" t="s">
        <v>362</v>
      </c>
      <c r="F1748" s="45" t="s">
        <v>83</v>
      </c>
    </row>
    <row r="1749" spans="5:6" x14ac:dyDescent="0.3">
      <c r="E1749" s="39" t="s">
        <v>484</v>
      </c>
      <c r="F1749" s="46" t="s">
        <v>83</v>
      </c>
    </row>
    <row r="1750" spans="5:6" x14ac:dyDescent="0.3">
      <c r="E1750" s="38" t="s">
        <v>1371</v>
      </c>
      <c r="F1750" s="45" t="s">
        <v>83</v>
      </c>
    </row>
    <row r="1751" spans="5:6" x14ac:dyDescent="0.3">
      <c r="E1751" s="39" t="s">
        <v>1372</v>
      </c>
      <c r="F1751" s="46" t="s">
        <v>83</v>
      </c>
    </row>
    <row r="1752" spans="5:6" x14ac:dyDescent="0.3">
      <c r="E1752" s="38" t="s">
        <v>1373</v>
      </c>
      <c r="F1752" s="45" t="s">
        <v>83</v>
      </c>
    </row>
    <row r="1753" spans="5:6" x14ac:dyDescent="0.3">
      <c r="E1753" s="39" t="s">
        <v>422</v>
      </c>
      <c r="F1753" s="46" t="s">
        <v>83</v>
      </c>
    </row>
    <row r="1754" spans="5:6" x14ac:dyDescent="0.3">
      <c r="E1754" s="38" t="s">
        <v>1374</v>
      </c>
      <c r="F1754" s="45" t="s">
        <v>83</v>
      </c>
    </row>
    <row r="1755" spans="5:6" x14ac:dyDescent="0.3">
      <c r="E1755" s="39" t="s">
        <v>383</v>
      </c>
      <c r="F1755" s="46" t="s">
        <v>83</v>
      </c>
    </row>
    <row r="1756" spans="5:6" x14ac:dyDescent="0.3">
      <c r="E1756" s="38" t="s">
        <v>848</v>
      </c>
      <c r="F1756" s="45" t="s">
        <v>83</v>
      </c>
    </row>
    <row r="1757" spans="5:6" x14ac:dyDescent="0.3">
      <c r="E1757" s="39" t="s">
        <v>501</v>
      </c>
      <c r="F1757" s="46" t="s">
        <v>83</v>
      </c>
    </row>
    <row r="1758" spans="5:6" x14ac:dyDescent="0.3">
      <c r="E1758" s="38" t="s">
        <v>1375</v>
      </c>
      <c r="F1758" s="45" t="s">
        <v>83</v>
      </c>
    </row>
    <row r="1759" spans="5:6" x14ac:dyDescent="0.3">
      <c r="E1759" s="39" t="s">
        <v>1376</v>
      </c>
      <c r="F1759" s="46" t="s">
        <v>83</v>
      </c>
    </row>
    <row r="1760" spans="5:6" x14ac:dyDescent="0.3">
      <c r="E1760" s="38" t="s">
        <v>1377</v>
      </c>
      <c r="F1760" s="45" t="s">
        <v>83</v>
      </c>
    </row>
    <row r="1761" spans="5:6" x14ac:dyDescent="0.3">
      <c r="E1761" s="39" t="s">
        <v>1378</v>
      </c>
      <c r="F1761" s="46" t="s">
        <v>83</v>
      </c>
    </row>
    <row r="1762" spans="5:6" x14ac:dyDescent="0.3">
      <c r="E1762" s="38" t="s">
        <v>1379</v>
      </c>
      <c r="F1762" s="45" t="s">
        <v>83</v>
      </c>
    </row>
    <row r="1763" spans="5:6" x14ac:dyDescent="0.3">
      <c r="E1763" s="39" t="s">
        <v>1380</v>
      </c>
      <c r="F1763" s="46" t="s">
        <v>83</v>
      </c>
    </row>
    <row r="1764" spans="5:6" x14ac:dyDescent="0.3">
      <c r="E1764" s="38" t="s">
        <v>1381</v>
      </c>
      <c r="F1764" s="45" t="s">
        <v>82</v>
      </c>
    </row>
    <row r="1765" spans="5:6" x14ac:dyDescent="0.3">
      <c r="E1765" s="39" t="s">
        <v>360</v>
      </c>
      <c r="F1765" s="46" t="s">
        <v>82</v>
      </c>
    </row>
    <row r="1766" spans="5:6" x14ac:dyDescent="0.3">
      <c r="E1766" s="38" t="s">
        <v>1382</v>
      </c>
      <c r="F1766" s="45" t="s">
        <v>82</v>
      </c>
    </row>
    <row r="1767" spans="5:6" x14ac:dyDescent="0.3">
      <c r="E1767" s="39" t="s">
        <v>1383</v>
      </c>
      <c r="F1767" s="46" t="s">
        <v>82</v>
      </c>
    </row>
    <row r="1768" spans="5:6" x14ac:dyDescent="0.3">
      <c r="E1768" s="38" t="s">
        <v>1384</v>
      </c>
      <c r="F1768" s="45" t="s">
        <v>82</v>
      </c>
    </row>
    <row r="1769" spans="5:6" x14ac:dyDescent="0.3">
      <c r="E1769" s="39" t="s">
        <v>557</v>
      </c>
      <c r="F1769" s="46" t="s">
        <v>82</v>
      </c>
    </row>
    <row r="1770" spans="5:6" x14ac:dyDescent="0.3">
      <c r="E1770" s="38" t="s">
        <v>1385</v>
      </c>
      <c r="F1770" s="45" t="s">
        <v>82</v>
      </c>
    </row>
    <row r="1771" spans="5:6" x14ac:dyDescent="0.3">
      <c r="E1771" s="39" t="s">
        <v>1386</v>
      </c>
      <c r="F1771" s="46" t="s">
        <v>82</v>
      </c>
    </row>
    <row r="1772" spans="5:6" x14ac:dyDescent="0.3">
      <c r="E1772" s="38" t="s">
        <v>1387</v>
      </c>
      <c r="F1772" s="45" t="s">
        <v>82</v>
      </c>
    </row>
    <row r="1773" spans="5:6" x14ac:dyDescent="0.3">
      <c r="E1773" s="39" t="s">
        <v>814</v>
      </c>
      <c r="F1773" s="46" t="s">
        <v>82</v>
      </c>
    </row>
    <row r="1774" spans="5:6" x14ac:dyDescent="0.3">
      <c r="E1774" s="38" t="s">
        <v>1388</v>
      </c>
      <c r="F1774" s="45" t="s">
        <v>81</v>
      </c>
    </row>
    <row r="1775" spans="5:6" x14ac:dyDescent="0.3">
      <c r="E1775" s="39" t="s">
        <v>1389</v>
      </c>
      <c r="F1775" s="46" t="s">
        <v>81</v>
      </c>
    </row>
    <row r="1776" spans="5:6" x14ac:dyDescent="0.3">
      <c r="E1776" s="38" t="s">
        <v>1390</v>
      </c>
      <c r="F1776" s="45" t="s">
        <v>81</v>
      </c>
    </row>
    <row r="1777" spans="5:6" x14ac:dyDescent="0.3">
      <c r="E1777" s="39" t="s">
        <v>598</v>
      </c>
      <c r="F1777" s="46" t="s">
        <v>81</v>
      </c>
    </row>
    <row r="1778" spans="5:6" x14ac:dyDescent="0.3">
      <c r="E1778" s="38" t="s">
        <v>1391</v>
      </c>
      <c r="F1778" s="45" t="s">
        <v>81</v>
      </c>
    </row>
    <row r="1779" spans="5:6" x14ac:dyDescent="0.3">
      <c r="E1779" s="39" t="s">
        <v>738</v>
      </c>
      <c r="F1779" s="46" t="s">
        <v>81</v>
      </c>
    </row>
    <row r="1780" spans="5:6" x14ac:dyDescent="0.3">
      <c r="E1780" s="38" t="s">
        <v>1086</v>
      </c>
      <c r="F1780" s="45" t="s">
        <v>81</v>
      </c>
    </row>
    <row r="1781" spans="5:6" x14ac:dyDescent="0.3">
      <c r="E1781" s="39" t="s">
        <v>1392</v>
      </c>
      <c r="F1781" s="46" t="s">
        <v>81</v>
      </c>
    </row>
    <row r="1782" spans="5:6" x14ac:dyDescent="0.3">
      <c r="E1782" s="38" t="s">
        <v>1393</v>
      </c>
      <c r="F1782" s="45" t="s">
        <v>81</v>
      </c>
    </row>
    <row r="1783" spans="5:6" x14ac:dyDescent="0.3">
      <c r="E1783" s="39" t="s">
        <v>1394</v>
      </c>
      <c r="F1783" s="46" t="s">
        <v>81</v>
      </c>
    </row>
    <row r="1784" spans="5:6" x14ac:dyDescent="0.3">
      <c r="E1784" s="38" t="s">
        <v>764</v>
      </c>
      <c r="F1784" s="45" t="s">
        <v>81</v>
      </c>
    </row>
    <row r="1785" spans="5:6" x14ac:dyDescent="0.3">
      <c r="E1785" s="39" t="s">
        <v>524</v>
      </c>
      <c r="F1785" s="46" t="s">
        <v>81</v>
      </c>
    </row>
    <row r="1786" spans="5:6" x14ac:dyDescent="0.3">
      <c r="E1786" s="38" t="s">
        <v>1395</v>
      </c>
      <c r="F1786" s="45" t="s">
        <v>81</v>
      </c>
    </row>
    <row r="1787" spans="5:6" x14ac:dyDescent="0.3">
      <c r="E1787" s="39" t="s">
        <v>902</v>
      </c>
      <c r="F1787" s="46" t="s">
        <v>81</v>
      </c>
    </row>
    <row r="1788" spans="5:6" x14ac:dyDescent="0.3">
      <c r="E1788" s="38" t="s">
        <v>1396</v>
      </c>
      <c r="F1788" s="45" t="s">
        <v>81</v>
      </c>
    </row>
    <row r="1789" spans="5:6" x14ac:dyDescent="0.3">
      <c r="E1789" s="39" t="s">
        <v>1397</v>
      </c>
      <c r="F1789" s="46" t="s">
        <v>81</v>
      </c>
    </row>
    <row r="1790" spans="5:6" x14ac:dyDescent="0.3">
      <c r="E1790" s="38" t="s">
        <v>1398</v>
      </c>
      <c r="F1790" s="45" t="s">
        <v>81</v>
      </c>
    </row>
    <row r="1791" spans="5:6" x14ac:dyDescent="0.3">
      <c r="E1791" s="39" t="s">
        <v>1062</v>
      </c>
      <c r="F1791" s="46" t="s">
        <v>81</v>
      </c>
    </row>
    <row r="1792" spans="5:6" x14ac:dyDescent="0.3">
      <c r="E1792" s="38" t="s">
        <v>531</v>
      </c>
      <c r="F1792" s="45" t="s">
        <v>81</v>
      </c>
    </row>
    <row r="1793" spans="5:6" x14ac:dyDescent="0.3">
      <c r="E1793" s="39" t="s">
        <v>406</v>
      </c>
      <c r="F1793" s="46" t="s">
        <v>81</v>
      </c>
    </row>
    <row r="1794" spans="5:6" x14ac:dyDescent="0.3">
      <c r="E1794" s="38" t="s">
        <v>683</v>
      </c>
      <c r="F1794" s="45" t="s">
        <v>81</v>
      </c>
    </row>
    <row r="1795" spans="5:6" x14ac:dyDescent="0.3">
      <c r="E1795" s="39" t="s">
        <v>1399</v>
      </c>
      <c r="F1795" s="46" t="s">
        <v>80</v>
      </c>
    </row>
    <row r="1796" spans="5:6" x14ac:dyDescent="0.3">
      <c r="E1796" s="38" t="s">
        <v>1400</v>
      </c>
      <c r="F1796" s="45" t="s">
        <v>80</v>
      </c>
    </row>
    <row r="1797" spans="5:6" x14ac:dyDescent="0.3">
      <c r="E1797" s="39" t="s">
        <v>1401</v>
      </c>
      <c r="F1797" s="46" t="s">
        <v>80</v>
      </c>
    </row>
    <row r="1798" spans="5:6" x14ac:dyDescent="0.3">
      <c r="E1798" s="38" t="s">
        <v>1402</v>
      </c>
      <c r="F1798" s="45" t="s">
        <v>80</v>
      </c>
    </row>
    <row r="1799" spans="5:6" x14ac:dyDescent="0.3">
      <c r="E1799" s="39" t="s">
        <v>1337</v>
      </c>
      <c r="F1799" s="46" t="s">
        <v>80</v>
      </c>
    </row>
    <row r="1800" spans="5:6" x14ac:dyDescent="0.3">
      <c r="E1800" s="38" t="s">
        <v>1403</v>
      </c>
      <c r="F1800" s="45" t="s">
        <v>80</v>
      </c>
    </row>
    <row r="1801" spans="5:6" x14ac:dyDescent="0.3">
      <c r="E1801" s="39" t="s">
        <v>1404</v>
      </c>
      <c r="F1801" s="46" t="s">
        <v>80</v>
      </c>
    </row>
    <row r="1802" spans="5:6" x14ac:dyDescent="0.3">
      <c r="E1802" s="38" t="s">
        <v>1405</v>
      </c>
      <c r="F1802" s="45" t="s">
        <v>80</v>
      </c>
    </row>
    <row r="1803" spans="5:6" x14ac:dyDescent="0.3">
      <c r="E1803" s="39" t="s">
        <v>1406</v>
      </c>
      <c r="F1803" s="46" t="s">
        <v>80</v>
      </c>
    </row>
    <row r="1804" spans="5:6" x14ac:dyDescent="0.3">
      <c r="E1804" s="38" t="s">
        <v>375</v>
      </c>
      <c r="F1804" s="45" t="s">
        <v>80</v>
      </c>
    </row>
    <row r="1805" spans="5:6" x14ac:dyDescent="0.3">
      <c r="E1805" s="39" t="s">
        <v>1407</v>
      </c>
      <c r="F1805" s="46" t="s">
        <v>80</v>
      </c>
    </row>
    <row r="1806" spans="5:6" x14ac:dyDescent="0.3">
      <c r="E1806" s="38" t="s">
        <v>1408</v>
      </c>
      <c r="F1806" s="45" t="s">
        <v>80</v>
      </c>
    </row>
    <row r="1807" spans="5:6" x14ac:dyDescent="0.3">
      <c r="E1807" s="39" t="s">
        <v>1409</v>
      </c>
      <c r="F1807" s="46" t="s">
        <v>80</v>
      </c>
    </row>
    <row r="1808" spans="5:6" x14ac:dyDescent="0.3">
      <c r="E1808" s="38" t="s">
        <v>1410</v>
      </c>
      <c r="F1808" s="45" t="s">
        <v>80</v>
      </c>
    </row>
    <row r="1809" spans="5:6" x14ac:dyDescent="0.3">
      <c r="E1809" s="39" t="s">
        <v>383</v>
      </c>
      <c r="F1809" s="46" t="s">
        <v>80</v>
      </c>
    </row>
    <row r="1810" spans="5:6" x14ac:dyDescent="0.3">
      <c r="E1810" s="38" t="s">
        <v>1411</v>
      </c>
      <c r="F1810" s="45" t="s">
        <v>80</v>
      </c>
    </row>
    <row r="1811" spans="5:6" x14ac:dyDescent="0.3">
      <c r="E1811" s="39" t="s">
        <v>1412</v>
      </c>
      <c r="F1811" s="46" t="s">
        <v>80</v>
      </c>
    </row>
    <row r="1812" spans="5:6" x14ac:dyDescent="0.3">
      <c r="E1812" s="38" t="s">
        <v>1413</v>
      </c>
      <c r="F1812" s="45" t="s">
        <v>80</v>
      </c>
    </row>
    <row r="1813" spans="5:6" x14ac:dyDescent="0.3">
      <c r="E1813" s="39" t="s">
        <v>1414</v>
      </c>
      <c r="F1813" s="46" t="s">
        <v>80</v>
      </c>
    </row>
    <row r="1814" spans="5:6" x14ac:dyDescent="0.3">
      <c r="E1814" s="38" t="s">
        <v>505</v>
      </c>
      <c r="F1814" s="45" t="s">
        <v>80</v>
      </c>
    </row>
    <row r="1815" spans="5:6" x14ac:dyDescent="0.3">
      <c r="E1815" s="39" t="s">
        <v>1415</v>
      </c>
      <c r="F1815" s="46" t="s">
        <v>80</v>
      </c>
    </row>
    <row r="1816" spans="5:6" x14ac:dyDescent="0.3">
      <c r="E1816" s="38" t="s">
        <v>1416</v>
      </c>
      <c r="F1816" s="45" t="s">
        <v>80</v>
      </c>
    </row>
    <row r="1817" spans="5:6" x14ac:dyDescent="0.3">
      <c r="E1817" s="39" t="s">
        <v>1318</v>
      </c>
      <c r="F1817" s="46" t="s">
        <v>80</v>
      </c>
    </row>
    <row r="1818" spans="5:6" x14ac:dyDescent="0.3">
      <c r="E1818" s="38" t="s">
        <v>1417</v>
      </c>
      <c r="F1818" s="45" t="s">
        <v>80</v>
      </c>
    </row>
    <row r="1819" spans="5:6" x14ac:dyDescent="0.3">
      <c r="E1819" s="39" t="s">
        <v>515</v>
      </c>
      <c r="F1819" s="46" t="s">
        <v>80</v>
      </c>
    </row>
    <row r="1820" spans="5:6" x14ac:dyDescent="0.3">
      <c r="E1820" s="38" t="s">
        <v>516</v>
      </c>
      <c r="F1820" s="45" t="s">
        <v>80</v>
      </c>
    </row>
    <row r="1821" spans="5:6" x14ac:dyDescent="0.3">
      <c r="E1821" s="39" t="s">
        <v>1418</v>
      </c>
      <c r="F1821" s="46" t="s">
        <v>80</v>
      </c>
    </row>
    <row r="1822" spans="5:6" x14ac:dyDescent="0.3">
      <c r="E1822" s="38" t="s">
        <v>454</v>
      </c>
      <c r="F1822" s="45" t="s">
        <v>80</v>
      </c>
    </row>
    <row r="1823" spans="5:6" x14ac:dyDescent="0.3">
      <c r="E1823" s="39" t="s">
        <v>1419</v>
      </c>
      <c r="F1823" s="46" t="s">
        <v>80</v>
      </c>
    </row>
    <row r="1824" spans="5:6" x14ac:dyDescent="0.3">
      <c r="E1824" s="38" t="s">
        <v>1420</v>
      </c>
      <c r="F1824" s="45" t="s">
        <v>80</v>
      </c>
    </row>
    <row r="1825" spans="5:6" x14ac:dyDescent="0.3">
      <c r="E1825" s="39" t="s">
        <v>1421</v>
      </c>
      <c r="F1825" s="46" t="s">
        <v>80</v>
      </c>
    </row>
    <row r="1826" spans="5:6" x14ac:dyDescent="0.3">
      <c r="E1826" s="38" t="s">
        <v>406</v>
      </c>
      <c r="F1826" s="45" t="s">
        <v>80</v>
      </c>
    </row>
    <row r="1827" spans="5:6" x14ac:dyDescent="0.3">
      <c r="E1827" s="39" t="s">
        <v>1422</v>
      </c>
      <c r="F1827" s="46" t="s">
        <v>80</v>
      </c>
    </row>
    <row r="1828" spans="5:6" x14ac:dyDescent="0.3">
      <c r="E1828" s="38" t="s">
        <v>1423</v>
      </c>
      <c r="F1828" s="45" t="s">
        <v>60</v>
      </c>
    </row>
    <row r="1829" spans="5:6" x14ac:dyDescent="0.3">
      <c r="E1829" s="39" t="s">
        <v>1065</v>
      </c>
      <c r="F1829" s="46" t="s">
        <v>60</v>
      </c>
    </row>
    <row r="1830" spans="5:6" x14ac:dyDescent="0.3">
      <c r="E1830" s="38" t="s">
        <v>1424</v>
      </c>
      <c r="F1830" s="45" t="s">
        <v>60</v>
      </c>
    </row>
    <row r="1831" spans="5:6" x14ac:dyDescent="0.3">
      <c r="E1831" s="39" t="s">
        <v>1425</v>
      </c>
      <c r="F1831" s="46" t="s">
        <v>60</v>
      </c>
    </row>
    <row r="1832" spans="5:6" x14ac:dyDescent="0.3">
      <c r="E1832" s="38" t="s">
        <v>1426</v>
      </c>
      <c r="F1832" s="45" t="s">
        <v>60</v>
      </c>
    </row>
    <row r="1833" spans="5:6" x14ac:dyDescent="0.3">
      <c r="E1833" s="39" t="s">
        <v>1427</v>
      </c>
      <c r="F1833" s="46" t="s">
        <v>60</v>
      </c>
    </row>
    <row r="1834" spans="5:6" x14ac:dyDescent="0.3">
      <c r="E1834" s="38" t="s">
        <v>875</v>
      </c>
      <c r="F1834" s="45" t="s">
        <v>60</v>
      </c>
    </row>
    <row r="1835" spans="5:6" x14ac:dyDescent="0.3">
      <c r="E1835" s="39" t="s">
        <v>1428</v>
      </c>
      <c r="F1835" s="46" t="s">
        <v>60</v>
      </c>
    </row>
    <row r="1836" spans="5:6" x14ac:dyDescent="0.3">
      <c r="E1836" s="38" t="s">
        <v>1429</v>
      </c>
      <c r="F1836" s="45" t="s">
        <v>60</v>
      </c>
    </row>
    <row r="1837" spans="5:6" x14ac:dyDescent="0.3">
      <c r="E1837" s="39" t="s">
        <v>736</v>
      </c>
      <c r="F1837" s="46" t="s">
        <v>60</v>
      </c>
    </row>
    <row r="1838" spans="5:6" x14ac:dyDescent="0.3">
      <c r="E1838" s="38" t="s">
        <v>364</v>
      </c>
      <c r="F1838" s="45" t="s">
        <v>60</v>
      </c>
    </row>
    <row r="1839" spans="5:6" x14ac:dyDescent="0.3">
      <c r="E1839" s="39" t="s">
        <v>1430</v>
      </c>
      <c r="F1839" s="46" t="s">
        <v>60</v>
      </c>
    </row>
    <row r="1840" spans="5:6" x14ac:dyDescent="0.3">
      <c r="E1840" s="38" t="s">
        <v>788</v>
      </c>
      <c r="F1840" s="45" t="s">
        <v>60</v>
      </c>
    </row>
    <row r="1841" spans="5:6" x14ac:dyDescent="0.3">
      <c r="E1841" s="39" t="s">
        <v>1431</v>
      </c>
      <c r="F1841" s="46" t="s">
        <v>60</v>
      </c>
    </row>
    <row r="1842" spans="5:6" x14ac:dyDescent="0.3">
      <c r="E1842" s="38" t="s">
        <v>1432</v>
      </c>
      <c r="F1842" s="45" t="s">
        <v>60</v>
      </c>
    </row>
    <row r="1843" spans="5:6" x14ac:dyDescent="0.3">
      <c r="E1843" s="39" t="s">
        <v>1086</v>
      </c>
      <c r="F1843" s="46" t="s">
        <v>60</v>
      </c>
    </row>
    <row r="1844" spans="5:6" x14ac:dyDescent="0.3">
      <c r="E1844" s="38" t="s">
        <v>276</v>
      </c>
      <c r="F1844" s="45" t="s">
        <v>60</v>
      </c>
    </row>
    <row r="1845" spans="5:6" x14ac:dyDescent="0.3">
      <c r="E1845" s="39" t="s">
        <v>373</v>
      </c>
      <c r="F1845" s="46" t="s">
        <v>60</v>
      </c>
    </row>
    <row r="1846" spans="5:6" x14ac:dyDescent="0.3">
      <c r="E1846" s="38" t="s">
        <v>1107</v>
      </c>
      <c r="F1846" s="45" t="s">
        <v>60</v>
      </c>
    </row>
    <row r="1847" spans="5:6" x14ac:dyDescent="0.3">
      <c r="E1847" s="39" t="s">
        <v>278</v>
      </c>
      <c r="F1847" s="46" t="s">
        <v>60</v>
      </c>
    </row>
    <row r="1848" spans="5:6" x14ac:dyDescent="0.3">
      <c r="E1848" s="38" t="s">
        <v>552</v>
      </c>
      <c r="F1848" s="45" t="s">
        <v>60</v>
      </c>
    </row>
    <row r="1849" spans="5:6" x14ac:dyDescent="0.3">
      <c r="E1849" s="39" t="s">
        <v>1433</v>
      </c>
      <c r="F1849" s="46" t="s">
        <v>60</v>
      </c>
    </row>
    <row r="1850" spans="5:6" x14ac:dyDescent="0.3">
      <c r="E1850" s="38" t="s">
        <v>283</v>
      </c>
      <c r="F1850" s="45" t="s">
        <v>60</v>
      </c>
    </row>
    <row r="1851" spans="5:6" x14ac:dyDescent="0.3">
      <c r="E1851" s="39" t="s">
        <v>426</v>
      </c>
      <c r="F1851" s="46" t="s">
        <v>60</v>
      </c>
    </row>
    <row r="1852" spans="5:6" x14ac:dyDescent="0.3">
      <c r="E1852" s="38" t="s">
        <v>718</v>
      </c>
      <c r="F1852" s="45" t="s">
        <v>60</v>
      </c>
    </row>
    <row r="1853" spans="5:6" x14ac:dyDescent="0.3">
      <c r="E1853" s="39" t="s">
        <v>756</v>
      </c>
      <c r="F1853" s="46" t="s">
        <v>60</v>
      </c>
    </row>
    <row r="1854" spans="5:6" x14ac:dyDescent="0.3">
      <c r="E1854" s="38" t="s">
        <v>291</v>
      </c>
      <c r="F1854" s="45" t="s">
        <v>60</v>
      </c>
    </row>
    <row r="1855" spans="5:6" x14ac:dyDescent="0.3">
      <c r="E1855" s="39" t="s">
        <v>296</v>
      </c>
      <c r="F1855" s="46" t="s">
        <v>60</v>
      </c>
    </row>
    <row r="1856" spans="5:6" x14ac:dyDescent="0.3">
      <c r="E1856" s="38" t="s">
        <v>297</v>
      </c>
      <c r="F1856" s="45" t="s">
        <v>60</v>
      </c>
    </row>
    <row r="1857" spans="5:6" x14ac:dyDescent="0.3">
      <c r="E1857" s="39" t="s">
        <v>565</v>
      </c>
      <c r="F1857" s="46" t="s">
        <v>60</v>
      </c>
    </row>
    <row r="1858" spans="5:6" x14ac:dyDescent="0.3">
      <c r="E1858" s="38" t="s">
        <v>1434</v>
      </c>
      <c r="F1858" s="45" t="s">
        <v>60</v>
      </c>
    </row>
    <row r="1859" spans="5:6" x14ac:dyDescent="0.3">
      <c r="E1859" s="39" t="s">
        <v>1435</v>
      </c>
      <c r="F1859" s="46" t="s">
        <v>60</v>
      </c>
    </row>
    <row r="1860" spans="5:6" x14ac:dyDescent="0.3">
      <c r="E1860" s="38" t="s">
        <v>721</v>
      </c>
      <c r="F1860" s="45" t="s">
        <v>60</v>
      </c>
    </row>
    <row r="1861" spans="5:6" x14ac:dyDescent="0.3">
      <c r="E1861" s="39" t="s">
        <v>1436</v>
      </c>
      <c r="F1861" s="46" t="s">
        <v>60</v>
      </c>
    </row>
    <row r="1862" spans="5:6" x14ac:dyDescent="0.3">
      <c r="E1862" s="38" t="s">
        <v>1437</v>
      </c>
      <c r="F1862" s="45" t="s">
        <v>60</v>
      </c>
    </row>
    <row r="1863" spans="5:6" x14ac:dyDescent="0.3">
      <c r="E1863" s="39" t="s">
        <v>439</v>
      </c>
      <c r="F1863" s="46" t="s">
        <v>60</v>
      </c>
    </row>
    <row r="1864" spans="5:6" x14ac:dyDescent="0.3">
      <c r="E1864" s="38" t="s">
        <v>1438</v>
      </c>
      <c r="F1864" s="45" t="s">
        <v>60</v>
      </c>
    </row>
    <row r="1865" spans="5:6" x14ac:dyDescent="0.3">
      <c r="E1865" s="39" t="s">
        <v>1439</v>
      </c>
      <c r="F1865" s="46" t="s">
        <v>60</v>
      </c>
    </row>
    <row r="1866" spans="5:6" x14ac:dyDescent="0.3">
      <c r="E1866" s="38" t="s">
        <v>1144</v>
      </c>
      <c r="F1866" s="45" t="s">
        <v>60</v>
      </c>
    </row>
    <row r="1867" spans="5:6" x14ac:dyDescent="0.3">
      <c r="E1867" s="39" t="s">
        <v>572</v>
      </c>
      <c r="F1867" s="46" t="s">
        <v>60</v>
      </c>
    </row>
    <row r="1868" spans="5:6" x14ac:dyDescent="0.3">
      <c r="E1868" s="38" t="s">
        <v>1440</v>
      </c>
      <c r="F1868" s="45" t="s">
        <v>60</v>
      </c>
    </row>
    <row r="1869" spans="5:6" x14ac:dyDescent="0.3">
      <c r="E1869" s="39" t="s">
        <v>1441</v>
      </c>
      <c r="F1869" s="46" t="s">
        <v>60</v>
      </c>
    </row>
    <row r="1870" spans="5:6" x14ac:dyDescent="0.3">
      <c r="E1870" s="38" t="s">
        <v>661</v>
      </c>
      <c r="F1870" s="45" t="s">
        <v>60</v>
      </c>
    </row>
    <row r="1871" spans="5:6" x14ac:dyDescent="0.3">
      <c r="E1871" s="39" t="s">
        <v>1442</v>
      </c>
      <c r="F1871" s="46" t="s">
        <v>60</v>
      </c>
    </row>
    <row r="1872" spans="5:6" x14ac:dyDescent="0.3">
      <c r="E1872" s="38" t="s">
        <v>1443</v>
      </c>
      <c r="F1872" s="45" t="s">
        <v>60</v>
      </c>
    </row>
    <row r="1873" spans="5:6" x14ac:dyDescent="0.3">
      <c r="E1873" s="39" t="s">
        <v>1444</v>
      </c>
      <c r="F1873" s="46" t="s">
        <v>60</v>
      </c>
    </row>
    <row r="1874" spans="5:6" x14ac:dyDescent="0.3">
      <c r="E1874" s="38" t="s">
        <v>1445</v>
      </c>
      <c r="F1874" s="45" t="s">
        <v>60</v>
      </c>
    </row>
    <row r="1875" spans="5:6" x14ac:dyDescent="0.3">
      <c r="E1875" s="39" t="s">
        <v>1446</v>
      </c>
      <c r="F1875" s="46" t="s">
        <v>60</v>
      </c>
    </row>
    <row r="1876" spans="5:6" x14ac:dyDescent="0.3">
      <c r="E1876" s="38" t="s">
        <v>772</v>
      </c>
      <c r="F1876" s="45" t="s">
        <v>60</v>
      </c>
    </row>
    <row r="1877" spans="5:6" x14ac:dyDescent="0.3">
      <c r="E1877" s="39" t="s">
        <v>1447</v>
      </c>
      <c r="F1877" s="46" t="s">
        <v>60</v>
      </c>
    </row>
    <row r="1878" spans="5:6" x14ac:dyDescent="0.3">
      <c r="E1878" s="38" t="s">
        <v>813</v>
      </c>
      <c r="F1878" s="45" t="s">
        <v>60</v>
      </c>
    </row>
    <row r="1879" spans="5:6" x14ac:dyDescent="0.3">
      <c r="E1879" s="39" t="s">
        <v>1091</v>
      </c>
      <c r="F1879" s="46" t="s">
        <v>60</v>
      </c>
    </row>
    <row r="1880" spans="5:6" x14ac:dyDescent="0.3">
      <c r="E1880" s="38" t="s">
        <v>814</v>
      </c>
      <c r="F1880" s="45" t="s">
        <v>60</v>
      </c>
    </row>
    <row r="1881" spans="5:6" x14ac:dyDescent="0.3">
      <c r="E1881" s="39" t="s">
        <v>1448</v>
      </c>
      <c r="F1881" s="46" t="s">
        <v>60</v>
      </c>
    </row>
    <row r="1882" spans="5:6" x14ac:dyDescent="0.3">
      <c r="E1882" s="38" t="s">
        <v>1449</v>
      </c>
      <c r="F1882" s="45" t="s">
        <v>60</v>
      </c>
    </row>
    <row r="1883" spans="5:6" x14ac:dyDescent="0.3">
      <c r="E1883" s="39" t="s">
        <v>1450</v>
      </c>
      <c r="F1883" s="46" t="s">
        <v>60</v>
      </c>
    </row>
    <row r="1884" spans="5:6" x14ac:dyDescent="0.3">
      <c r="E1884" s="38" t="s">
        <v>683</v>
      </c>
      <c r="F1884" s="45" t="s">
        <v>60</v>
      </c>
    </row>
    <row r="1885" spans="5:6" x14ac:dyDescent="0.3">
      <c r="E1885" s="39" t="s">
        <v>311</v>
      </c>
      <c r="F1885" s="46" t="s">
        <v>60</v>
      </c>
    </row>
    <row r="1886" spans="5:6" x14ac:dyDescent="0.3">
      <c r="E1886" s="38" t="s">
        <v>684</v>
      </c>
      <c r="F1886" s="45" t="s">
        <v>60</v>
      </c>
    </row>
    <row r="1887" spans="5:6" x14ac:dyDescent="0.3">
      <c r="E1887" s="39" t="s">
        <v>1451</v>
      </c>
      <c r="F1887" s="46" t="s">
        <v>60</v>
      </c>
    </row>
    <row r="1888" spans="5:6" x14ac:dyDescent="0.3">
      <c r="E1888" s="38" t="s">
        <v>1452</v>
      </c>
      <c r="F1888" s="45" t="s">
        <v>60</v>
      </c>
    </row>
    <row r="1889" spans="5:6" x14ac:dyDescent="0.3">
      <c r="E1889" s="39" t="s">
        <v>1453</v>
      </c>
      <c r="F1889" s="46" t="s">
        <v>60</v>
      </c>
    </row>
    <row r="1890" spans="5:6" x14ac:dyDescent="0.3">
      <c r="E1890" s="38" t="s">
        <v>1454</v>
      </c>
      <c r="F1890" s="45" t="s">
        <v>79</v>
      </c>
    </row>
    <row r="1891" spans="5:6" x14ac:dyDescent="0.3">
      <c r="E1891" s="39" t="s">
        <v>729</v>
      </c>
      <c r="F1891" s="46" t="s">
        <v>79</v>
      </c>
    </row>
    <row r="1892" spans="5:6" x14ac:dyDescent="0.3">
      <c r="E1892" s="38" t="s">
        <v>1455</v>
      </c>
      <c r="F1892" s="45" t="s">
        <v>79</v>
      </c>
    </row>
    <row r="1893" spans="5:6" x14ac:dyDescent="0.3">
      <c r="E1893" s="39" t="s">
        <v>1456</v>
      </c>
      <c r="F1893" s="46" t="s">
        <v>79</v>
      </c>
    </row>
    <row r="1894" spans="5:6" x14ac:dyDescent="0.3">
      <c r="E1894" s="38" t="s">
        <v>1457</v>
      </c>
      <c r="F1894" s="45" t="s">
        <v>79</v>
      </c>
    </row>
    <row r="1895" spans="5:6" x14ac:dyDescent="0.3">
      <c r="E1895" s="39" t="s">
        <v>1458</v>
      </c>
      <c r="F1895" s="46" t="s">
        <v>79</v>
      </c>
    </row>
    <row r="1896" spans="5:6" x14ac:dyDescent="0.3">
      <c r="E1896" s="38" t="s">
        <v>1459</v>
      </c>
      <c r="F1896" s="45" t="s">
        <v>79</v>
      </c>
    </row>
    <row r="1897" spans="5:6" x14ac:dyDescent="0.3">
      <c r="E1897" s="39" t="s">
        <v>1460</v>
      </c>
      <c r="F1897" s="46" t="s">
        <v>79</v>
      </c>
    </row>
    <row r="1898" spans="5:6" x14ac:dyDescent="0.3">
      <c r="E1898" s="38" t="s">
        <v>1461</v>
      </c>
      <c r="F1898" s="45" t="s">
        <v>79</v>
      </c>
    </row>
    <row r="1899" spans="5:6" x14ac:dyDescent="0.3">
      <c r="E1899" s="39" t="s">
        <v>1462</v>
      </c>
      <c r="F1899" s="46" t="s">
        <v>79</v>
      </c>
    </row>
    <row r="1900" spans="5:6" x14ac:dyDescent="0.3">
      <c r="E1900" s="38" t="s">
        <v>1463</v>
      </c>
      <c r="F1900" s="45" t="s">
        <v>79</v>
      </c>
    </row>
    <row r="1901" spans="5:6" x14ac:dyDescent="0.3">
      <c r="E1901" s="39" t="s">
        <v>596</v>
      </c>
      <c r="F1901" s="46" t="s">
        <v>79</v>
      </c>
    </row>
    <row r="1902" spans="5:6" x14ac:dyDescent="0.3">
      <c r="E1902" s="38" t="s">
        <v>1464</v>
      </c>
      <c r="F1902" s="45" t="s">
        <v>79</v>
      </c>
    </row>
    <row r="1903" spans="5:6" x14ac:dyDescent="0.3">
      <c r="E1903" s="39" t="s">
        <v>946</v>
      </c>
      <c r="F1903" s="46" t="s">
        <v>79</v>
      </c>
    </row>
    <row r="1904" spans="5:6" x14ac:dyDescent="0.3">
      <c r="E1904" s="38" t="s">
        <v>598</v>
      </c>
      <c r="F1904" s="45" t="s">
        <v>79</v>
      </c>
    </row>
    <row r="1905" spans="5:6" x14ac:dyDescent="0.3">
      <c r="E1905" s="39" t="s">
        <v>1465</v>
      </c>
      <c r="F1905" s="46" t="s">
        <v>79</v>
      </c>
    </row>
    <row r="1906" spans="5:6" x14ac:dyDescent="0.3">
      <c r="E1906" s="38" t="s">
        <v>1466</v>
      </c>
      <c r="F1906" s="45" t="s">
        <v>79</v>
      </c>
    </row>
    <row r="1907" spans="5:6" x14ac:dyDescent="0.3">
      <c r="E1907" s="39" t="s">
        <v>1467</v>
      </c>
      <c r="F1907" s="46" t="s">
        <v>79</v>
      </c>
    </row>
    <row r="1908" spans="5:6" x14ac:dyDescent="0.3">
      <c r="E1908" s="38" t="s">
        <v>602</v>
      </c>
      <c r="F1908" s="45" t="s">
        <v>79</v>
      </c>
    </row>
    <row r="1909" spans="5:6" x14ac:dyDescent="0.3">
      <c r="E1909" s="39" t="s">
        <v>256</v>
      </c>
      <c r="F1909" s="46" t="s">
        <v>79</v>
      </c>
    </row>
    <row r="1910" spans="5:6" x14ac:dyDescent="0.3">
      <c r="E1910" s="38" t="s">
        <v>1468</v>
      </c>
      <c r="F1910" s="45" t="s">
        <v>79</v>
      </c>
    </row>
    <row r="1911" spans="5:6" x14ac:dyDescent="0.3">
      <c r="E1911" s="39" t="s">
        <v>260</v>
      </c>
      <c r="F1911" s="46" t="s">
        <v>79</v>
      </c>
    </row>
    <row r="1912" spans="5:6" x14ac:dyDescent="0.3">
      <c r="E1912" s="38" t="s">
        <v>363</v>
      </c>
      <c r="F1912" s="45" t="s">
        <v>79</v>
      </c>
    </row>
    <row r="1913" spans="5:6" x14ac:dyDescent="0.3">
      <c r="E1913" s="39" t="s">
        <v>1469</v>
      </c>
      <c r="F1913" s="46" t="s">
        <v>79</v>
      </c>
    </row>
    <row r="1914" spans="5:6" x14ac:dyDescent="0.3">
      <c r="E1914" s="38" t="s">
        <v>1470</v>
      </c>
      <c r="F1914" s="45" t="s">
        <v>79</v>
      </c>
    </row>
    <row r="1915" spans="5:6" x14ac:dyDescent="0.3">
      <c r="E1915" s="39" t="s">
        <v>738</v>
      </c>
      <c r="F1915" s="46" t="s">
        <v>79</v>
      </c>
    </row>
    <row r="1916" spans="5:6" x14ac:dyDescent="0.3">
      <c r="E1916" s="38" t="s">
        <v>1471</v>
      </c>
      <c r="F1916" s="45" t="s">
        <v>79</v>
      </c>
    </row>
    <row r="1917" spans="5:6" x14ac:dyDescent="0.3">
      <c r="E1917" s="39" t="s">
        <v>1472</v>
      </c>
      <c r="F1917" s="46" t="s">
        <v>79</v>
      </c>
    </row>
    <row r="1918" spans="5:6" x14ac:dyDescent="0.3">
      <c r="E1918" s="38" t="s">
        <v>1473</v>
      </c>
      <c r="F1918" s="45" t="s">
        <v>79</v>
      </c>
    </row>
    <row r="1919" spans="5:6" x14ac:dyDescent="0.3">
      <c r="E1919" s="39" t="s">
        <v>1474</v>
      </c>
      <c r="F1919" s="46" t="s">
        <v>79</v>
      </c>
    </row>
    <row r="1920" spans="5:6" x14ac:dyDescent="0.3">
      <c r="E1920" s="38" t="s">
        <v>1475</v>
      </c>
      <c r="F1920" s="45" t="s">
        <v>79</v>
      </c>
    </row>
    <row r="1921" spans="5:6" x14ac:dyDescent="0.3">
      <c r="E1921" s="39" t="s">
        <v>1476</v>
      </c>
      <c r="F1921" s="46" t="s">
        <v>79</v>
      </c>
    </row>
    <row r="1922" spans="5:6" x14ac:dyDescent="0.3">
      <c r="E1922" s="38" t="s">
        <v>1477</v>
      </c>
      <c r="F1922" s="45" t="s">
        <v>79</v>
      </c>
    </row>
    <row r="1923" spans="5:6" x14ac:dyDescent="0.3">
      <c r="E1923" s="39" t="s">
        <v>625</v>
      </c>
      <c r="F1923" s="46" t="s">
        <v>79</v>
      </c>
    </row>
    <row r="1924" spans="5:6" x14ac:dyDescent="0.3">
      <c r="E1924" s="38" t="s">
        <v>276</v>
      </c>
      <c r="F1924" s="45" t="s">
        <v>79</v>
      </c>
    </row>
    <row r="1925" spans="5:6" x14ac:dyDescent="0.3">
      <c r="E1925" s="39" t="s">
        <v>1478</v>
      </c>
      <c r="F1925" s="46" t="s">
        <v>79</v>
      </c>
    </row>
    <row r="1926" spans="5:6" x14ac:dyDescent="0.3">
      <c r="E1926" s="38" t="s">
        <v>1479</v>
      </c>
      <c r="F1926" s="45" t="s">
        <v>79</v>
      </c>
    </row>
    <row r="1927" spans="5:6" x14ac:dyDescent="0.3">
      <c r="E1927" s="39" t="s">
        <v>343</v>
      </c>
      <c r="F1927" s="46" t="s">
        <v>79</v>
      </c>
    </row>
    <row r="1928" spans="5:6" x14ac:dyDescent="0.3">
      <c r="E1928" s="38" t="s">
        <v>1480</v>
      </c>
      <c r="F1928" s="45" t="s">
        <v>79</v>
      </c>
    </row>
    <row r="1929" spans="5:6" x14ac:dyDescent="0.3">
      <c r="E1929" s="39" t="s">
        <v>278</v>
      </c>
      <c r="F1929" s="46" t="s">
        <v>79</v>
      </c>
    </row>
    <row r="1930" spans="5:6" x14ac:dyDescent="0.3">
      <c r="E1930" s="38" t="s">
        <v>1481</v>
      </c>
      <c r="F1930" s="45" t="s">
        <v>79</v>
      </c>
    </row>
    <row r="1931" spans="5:6" x14ac:dyDescent="0.3">
      <c r="E1931" s="39" t="s">
        <v>1482</v>
      </c>
      <c r="F1931" s="46" t="s">
        <v>79</v>
      </c>
    </row>
    <row r="1932" spans="5:6" x14ac:dyDescent="0.3">
      <c r="E1932" s="38" t="s">
        <v>1483</v>
      </c>
      <c r="F1932" s="45" t="s">
        <v>79</v>
      </c>
    </row>
    <row r="1933" spans="5:6" x14ac:dyDescent="0.3">
      <c r="E1933" s="39" t="s">
        <v>1484</v>
      </c>
      <c r="F1933" s="46" t="s">
        <v>79</v>
      </c>
    </row>
    <row r="1934" spans="5:6" x14ac:dyDescent="0.3">
      <c r="E1934" s="38" t="s">
        <v>747</v>
      </c>
      <c r="F1934" s="45" t="s">
        <v>79</v>
      </c>
    </row>
    <row r="1935" spans="5:6" x14ac:dyDescent="0.3">
      <c r="E1935" s="39" t="s">
        <v>1485</v>
      </c>
      <c r="F1935" s="46" t="s">
        <v>79</v>
      </c>
    </row>
    <row r="1936" spans="5:6" x14ac:dyDescent="0.3">
      <c r="E1936" s="38" t="s">
        <v>1486</v>
      </c>
      <c r="F1936" s="45" t="s">
        <v>79</v>
      </c>
    </row>
    <row r="1937" spans="5:6" x14ac:dyDescent="0.3">
      <c r="E1937" s="39" t="s">
        <v>1487</v>
      </c>
      <c r="F1937" s="46" t="s">
        <v>79</v>
      </c>
    </row>
    <row r="1938" spans="5:6" x14ac:dyDescent="0.3">
      <c r="E1938" s="38" t="s">
        <v>1488</v>
      </c>
      <c r="F1938" s="45" t="s">
        <v>79</v>
      </c>
    </row>
    <row r="1939" spans="5:6" x14ac:dyDescent="0.3">
      <c r="E1939" s="39" t="s">
        <v>282</v>
      </c>
      <c r="F1939" s="46" t="s">
        <v>79</v>
      </c>
    </row>
    <row r="1940" spans="5:6" x14ac:dyDescent="0.3">
      <c r="E1940" s="38" t="s">
        <v>1489</v>
      </c>
      <c r="F1940" s="45" t="s">
        <v>79</v>
      </c>
    </row>
    <row r="1941" spans="5:6" x14ac:dyDescent="0.3">
      <c r="E1941" s="39" t="s">
        <v>643</v>
      </c>
      <c r="F1941" s="46" t="s">
        <v>79</v>
      </c>
    </row>
    <row r="1942" spans="5:6" x14ac:dyDescent="0.3">
      <c r="E1942" s="38" t="s">
        <v>287</v>
      </c>
      <c r="F1942" s="45" t="s">
        <v>79</v>
      </c>
    </row>
    <row r="1943" spans="5:6" x14ac:dyDescent="0.3">
      <c r="E1943" s="39" t="s">
        <v>1490</v>
      </c>
      <c r="F1943" s="46" t="s">
        <v>79</v>
      </c>
    </row>
    <row r="1944" spans="5:6" x14ac:dyDescent="0.3">
      <c r="E1944" s="38" t="s">
        <v>383</v>
      </c>
      <c r="F1944" s="45" t="s">
        <v>79</v>
      </c>
    </row>
    <row r="1945" spans="5:6" x14ac:dyDescent="0.3">
      <c r="E1945" s="39" t="s">
        <v>1491</v>
      </c>
      <c r="F1945" s="46" t="s">
        <v>79</v>
      </c>
    </row>
    <row r="1946" spans="5:6" x14ac:dyDescent="0.3">
      <c r="E1946" s="38" t="s">
        <v>290</v>
      </c>
      <c r="F1946" s="45" t="s">
        <v>79</v>
      </c>
    </row>
    <row r="1947" spans="5:6" x14ac:dyDescent="0.3">
      <c r="E1947" s="39" t="s">
        <v>291</v>
      </c>
      <c r="F1947" s="46" t="s">
        <v>79</v>
      </c>
    </row>
    <row r="1948" spans="5:6" x14ac:dyDescent="0.3">
      <c r="E1948" s="38" t="s">
        <v>564</v>
      </c>
      <c r="F1948" s="45" t="s">
        <v>79</v>
      </c>
    </row>
    <row r="1949" spans="5:6" x14ac:dyDescent="0.3">
      <c r="E1949" s="39" t="s">
        <v>1492</v>
      </c>
      <c r="F1949" s="46" t="s">
        <v>79</v>
      </c>
    </row>
    <row r="1950" spans="5:6" x14ac:dyDescent="0.3">
      <c r="E1950" s="38" t="s">
        <v>651</v>
      </c>
      <c r="F1950" s="45" t="s">
        <v>79</v>
      </c>
    </row>
    <row r="1951" spans="5:6" x14ac:dyDescent="0.3">
      <c r="E1951" s="39" t="s">
        <v>297</v>
      </c>
      <c r="F1951" s="46" t="s">
        <v>79</v>
      </c>
    </row>
    <row r="1952" spans="5:6" x14ac:dyDescent="0.3">
      <c r="E1952" s="38" t="s">
        <v>1493</v>
      </c>
      <c r="F1952" s="45" t="s">
        <v>79</v>
      </c>
    </row>
    <row r="1953" spans="5:6" x14ac:dyDescent="0.3">
      <c r="E1953" s="39" t="s">
        <v>1494</v>
      </c>
      <c r="F1953" s="46" t="s">
        <v>79</v>
      </c>
    </row>
    <row r="1954" spans="5:6" x14ac:dyDescent="0.3">
      <c r="E1954" s="38" t="s">
        <v>1495</v>
      </c>
      <c r="F1954" s="45" t="s">
        <v>79</v>
      </c>
    </row>
    <row r="1955" spans="5:6" x14ac:dyDescent="0.3">
      <c r="E1955" s="39" t="s">
        <v>1496</v>
      </c>
      <c r="F1955" s="46" t="s">
        <v>79</v>
      </c>
    </row>
    <row r="1956" spans="5:6" x14ac:dyDescent="0.3">
      <c r="E1956" s="38" t="s">
        <v>1497</v>
      </c>
      <c r="F1956" s="45" t="s">
        <v>79</v>
      </c>
    </row>
    <row r="1957" spans="5:6" x14ac:dyDescent="0.3">
      <c r="E1957" s="39" t="s">
        <v>439</v>
      </c>
      <c r="F1957" s="46" t="s">
        <v>79</v>
      </c>
    </row>
    <row r="1958" spans="5:6" x14ac:dyDescent="0.3">
      <c r="E1958" s="38" t="s">
        <v>1498</v>
      </c>
      <c r="F1958" s="45" t="s">
        <v>79</v>
      </c>
    </row>
    <row r="1959" spans="5:6" x14ac:dyDescent="0.3">
      <c r="E1959" s="39" t="s">
        <v>1499</v>
      </c>
      <c r="F1959" s="46" t="s">
        <v>79</v>
      </c>
    </row>
    <row r="1960" spans="5:6" x14ac:dyDescent="0.3">
      <c r="E1960" s="38" t="s">
        <v>1500</v>
      </c>
      <c r="F1960" s="45" t="s">
        <v>79</v>
      </c>
    </row>
    <row r="1961" spans="5:6" x14ac:dyDescent="0.3">
      <c r="E1961" s="39" t="s">
        <v>1501</v>
      </c>
      <c r="F1961" s="46" t="s">
        <v>79</v>
      </c>
    </row>
    <row r="1962" spans="5:6" x14ac:dyDescent="0.3">
      <c r="E1962" s="38" t="s">
        <v>1502</v>
      </c>
      <c r="F1962" s="45" t="s">
        <v>79</v>
      </c>
    </row>
    <row r="1963" spans="5:6" x14ac:dyDescent="0.3">
      <c r="E1963" s="39" t="s">
        <v>1503</v>
      </c>
      <c r="F1963" s="46" t="s">
        <v>79</v>
      </c>
    </row>
    <row r="1964" spans="5:6" x14ac:dyDescent="0.3">
      <c r="E1964" s="38" t="s">
        <v>394</v>
      </c>
      <c r="F1964" s="45" t="s">
        <v>79</v>
      </c>
    </row>
    <row r="1965" spans="5:6" x14ac:dyDescent="0.3">
      <c r="E1965" s="39" t="s">
        <v>302</v>
      </c>
      <c r="F1965" s="46" t="s">
        <v>79</v>
      </c>
    </row>
    <row r="1966" spans="5:6" x14ac:dyDescent="0.3">
      <c r="E1966" s="38" t="s">
        <v>661</v>
      </c>
      <c r="F1966" s="45" t="s">
        <v>79</v>
      </c>
    </row>
    <row r="1967" spans="5:6" x14ac:dyDescent="0.3">
      <c r="E1967" s="39" t="s">
        <v>1504</v>
      </c>
      <c r="F1967" s="46" t="s">
        <v>79</v>
      </c>
    </row>
    <row r="1968" spans="5:6" x14ac:dyDescent="0.3">
      <c r="E1968" s="38" t="s">
        <v>1386</v>
      </c>
      <c r="F1968" s="45" t="s">
        <v>79</v>
      </c>
    </row>
    <row r="1969" spans="5:6" x14ac:dyDescent="0.3">
      <c r="E1969" s="39" t="s">
        <v>985</v>
      </c>
      <c r="F1969" s="46" t="s">
        <v>79</v>
      </c>
    </row>
    <row r="1970" spans="5:6" x14ac:dyDescent="0.3">
      <c r="E1970" s="38" t="s">
        <v>1505</v>
      </c>
      <c r="F1970" s="45" t="s">
        <v>79</v>
      </c>
    </row>
    <row r="1971" spans="5:6" x14ac:dyDescent="0.3">
      <c r="E1971" s="39" t="s">
        <v>1506</v>
      </c>
      <c r="F1971" s="46" t="s">
        <v>79</v>
      </c>
    </row>
    <row r="1972" spans="5:6" x14ac:dyDescent="0.3">
      <c r="E1972" s="38" t="s">
        <v>1286</v>
      </c>
      <c r="F1972" s="45" t="s">
        <v>79</v>
      </c>
    </row>
    <row r="1973" spans="5:6" x14ac:dyDescent="0.3">
      <c r="E1973" s="39" t="s">
        <v>1507</v>
      </c>
      <c r="F1973" s="46" t="s">
        <v>79</v>
      </c>
    </row>
    <row r="1974" spans="5:6" x14ac:dyDescent="0.3">
      <c r="E1974" s="38" t="s">
        <v>1508</v>
      </c>
      <c r="F1974" s="45" t="s">
        <v>79</v>
      </c>
    </row>
    <row r="1975" spans="5:6" x14ac:dyDescent="0.3">
      <c r="E1975" s="39" t="s">
        <v>1509</v>
      </c>
      <c r="F1975" s="46" t="s">
        <v>79</v>
      </c>
    </row>
    <row r="1976" spans="5:6" x14ac:dyDescent="0.3">
      <c r="E1976" s="38" t="s">
        <v>1510</v>
      </c>
      <c r="F1976" s="45" t="s">
        <v>79</v>
      </c>
    </row>
    <row r="1977" spans="5:6" x14ac:dyDescent="0.3">
      <c r="E1977" s="39" t="s">
        <v>1511</v>
      </c>
      <c r="F1977" s="46" t="s">
        <v>79</v>
      </c>
    </row>
    <row r="1978" spans="5:6" x14ac:dyDescent="0.3">
      <c r="E1978" s="38" t="s">
        <v>1512</v>
      </c>
      <c r="F1978" s="45" t="s">
        <v>79</v>
      </c>
    </row>
    <row r="1979" spans="5:6" x14ac:dyDescent="0.3">
      <c r="E1979" s="39" t="s">
        <v>406</v>
      </c>
      <c r="F1979" s="46" t="s">
        <v>79</v>
      </c>
    </row>
    <row r="1980" spans="5:6" x14ac:dyDescent="0.3">
      <c r="E1980" s="38" t="s">
        <v>1513</v>
      </c>
      <c r="F1980" s="45" t="s">
        <v>79</v>
      </c>
    </row>
    <row r="1981" spans="5:6" x14ac:dyDescent="0.3">
      <c r="E1981" s="39" t="s">
        <v>1514</v>
      </c>
      <c r="F1981" s="46" t="s">
        <v>79</v>
      </c>
    </row>
    <row r="1982" spans="5:6" x14ac:dyDescent="0.3">
      <c r="E1982" s="38" t="s">
        <v>683</v>
      </c>
      <c r="F1982" s="45" t="s">
        <v>79</v>
      </c>
    </row>
    <row r="1983" spans="5:6" x14ac:dyDescent="0.3">
      <c r="E1983" s="39" t="s">
        <v>311</v>
      </c>
      <c r="F1983" s="46" t="s">
        <v>79</v>
      </c>
    </row>
    <row r="1984" spans="5:6" x14ac:dyDescent="0.3">
      <c r="E1984" s="38" t="s">
        <v>1515</v>
      </c>
      <c r="F1984" s="45" t="s">
        <v>79</v>
      </c>
    </row>
    <row r="1985" spans="5:6" x14ac:dyDescent="0.3">
      <c r="E1985" s="39" t="s">
        <v>684</v>
      </c>
      <c r="F1985" s="46" t="s">
        <v>79</v>
      </c>
    </row>
    <row r="1986" spans="5:6" x14ac:dyDescent="0.3">
      <c r="E1986" s="38" t="s">
        <v>688</v>
      </c>
      <c r="F1986" s="45" t="s">
        <v>79</v>
      </c>
    </row>
    <row r="1987" spans="5:6" x14ac:dyDescent="0.3">
      <c r="E1987" s="39" t="s">
        <v>933</v>
      </c>
      <c r="F1987" s="46" t="s">
        <v>79</v>
      </c>
    </row>
    <row r="1988" spans="5:6" x14ac:dyDescent="0.3">
      <c r="E1988" s="38" t="s">
        <v>1516</v>
      </c>
      <c r="F1988" s="45" t="s">
        <v>79</v>
      </c>
    </row>
    <row r="1989" spans="5:6" x14ac:dyDescent="0.3">
      <c r="E1989" s="39" t="s">
        <v>1517</v>
      </c>
      <c r="F1989" s="46" t="s">
        <v>79</v>
      </c>
    </row>
    <row r="1990" spans="5:6" x14ac:dyDescent="0.3">
      <c r="E1990" s="38" t="s">
        <v>467</v>
      </c>
      <c r="F1990" s="45" t="s">
        <v>78</v>
      </c>
    </row>
    <row r="1991" spans="5:6" x14ac:dyDescent="0.3">
      <c r="E1991" s="39" t="s">
        <v>1518</v>
      </c>
      <c r="F1991" s="46" t="s">
        <v>78</v>
      </c>
    </row>
    <row r="1992" spans="5:6" x14ac:dyDescent="0.3">
      <c r="E1992" s="38" t="s">
        <v>1519</v>
      </c>
      <c r="F1992" s="45" t="s">
        <v>78</v>
      </c>
    </row>
    <row r="1993" spans="5:6" x14ac:dyDescent="0.3">
      <c r="E1993" s="39" t="s">
        <v>1520</v>
      </c>
      <c r="F1993" s="46" t="s">
        <v>78</v>
      </c>
    </row>
    <row r="1994" spans="5:6" x14ac:dyDescent="0.3">
      <c r="E1994" s="38" t="s">
        <v>1521</v>
      </c>
      <c r="F1994" s="45" t="s">
        <v>78</v>
      </c>
    </row>
    <row r="1995" spans="5:6" x14ac:dyDescent="0.3">
      <c r="E1995" s="39" t="s">
        <v>1522</v>
      </c>
      <c r="F1995" s="46" t="s">
        <v>78</v>
      </c>
    </row>
    <row r="1996" spans="5:6" x14ac:dyDescent="0.3">
      <c r="E1996" s="38" t="s">
        <v>596</v>
      </c>
      <c r="F1996" s="45" t="s">
        <v>78</v>
      </c>
    </row>
    <row r="1997" spans="5:6" x14ac:dyDescent="0.3">
      <c r="E1997" s="39" t="s">
        <v>1523</v>
      </c>
      <c r="F1997" s="46" t="s">
        <v>78</v>
      </c>
    </row>
    <row r="1998" spans="5:6" x14ac:dyDescent="0.3">
      <c r="E1998" s="38" t="s">
        <v>733</v>
      </c>
      <c r="F1998" s="45" t="s">
        <v>78</v>
      </c>
    </row>
    <row r="1999" spans="5:6" x14ac:dyDescent="0.3">
      <c r="E1999" s="39" t="s">
        <v>1524</v>
      </c>
      <c r="F1999" s="46" t="s">
        <v>78</v>
      </c>
    </row>
    <row r="2000" spans="5:6" x14ac:dyDescent="0.3">
      <c r="E2000" s="38" t="s">
        <v>1525</v>
      </c>
      <c r="F2000" s="45" t="s">
        <v>78</v>
      </c>
    </row>
    <row r="2001" spans="5:6" x14ac:dyDescent="0.3">
      <c r="E2001" s="39" t="s">
        <v>1526</v>
      </c>
      <c r="F2001" s="46" t="s">
        <v>78</v>
      </c>
    </row>
    <row r="2002" spans="5:6" x14ac:dyDescent="0.3">
      <c r="E2002" s="38" t="s">
        <v>1527</v>
      </c>
      <c r="F2002" s="45" t="s">
        <v>78</v>
      </c>
    </row>
    <row r="2003" spans="5:6" x14ac:dyDescent="0.3">
      <c r="E2003" s="39" t="s">
        <v>1406</v>
      </c>
      <c r="F2003" s="46" t="s">
        <v>78</v>
      </c>
    </row>
    <row r="2004" spans="5:6" x14ac:dyDescent="0.3">
      <c r="E2004" s="38" t="s">
        <v>1528</v>
      </c>
      <c r="F2004" s="45" t="s">
        <v>78</v>
      </c>
    </row>
    <row r="2005" spans="5:6" x14ac:dyDescent="0.3">
      <c r="E2005" s="39" t="s">
        <v>1529</v>
      </c>
      <c r="F2005" s="46" t="s">
        <v>78</v>
      </c>
    </row>
    <row r="2006" spans="5:6" x14ac:dyDescent="0.3">
      <c r="E2006" s="38" t="s">
        <v>1305</v>
      </c>
      <c r="F2006" s="45" t="s">
        <v>78</v>
      </c>
    </row>
    <row r="2007" spans="5:6" x14ac:dyDescent="0.3">
      <c r="E2007" s="39" t="s">
        <v>1530</v>
      </c>
      <c r="F2007" s="46" t="s">
        <v>78</v>
      </c>
    </row>
    <row r="2008" spans="5:6" x14ac:dyDescent="0.3">
      <c r="E2008" s="38" t="s">
        <v>375</v>
      </c>
      <c r="F2008" s="45" t="s">
        <v>78</v>
      </c>
    </row>
    <row r="2009" spans="5:6" x14ac:dyDescent="0.3">
      <c r="E2009" s="39" t="s">
        <v>1531</v>
      </c>
      <c r="F2009" s="46" t="s">
        <v>78</v>
      </c>
    </row>
    <row r="2010" spans="5:6" x14ac:dyDescent="0.3">
      <c r="E2010" s="38" t="s">
        <v>1532</v>
      </c>
      <c r="F2010" s="45" t="s">
        <v>78</v>
      </c>
    </row>
    <row r="2011" spans="5:6" x14ac:dyDescent="0.3">
      <c r="E2011" s="39" t="s">
        <v>1533</v>
      </c>
      <c r="F2011" s="46" t="s">
        <v>78</v>
      </c>
    </row>
    <row r="2012" spans="5:6" x14ac:dyDescent="0.3">
      <c r="E2012" s="38" t="s">
        <v>1534</v>
      </c>
      <c r="F2012" s="45" t="s">
        <v>78</v>
      </c>
    </row>
    <row r="2013" spans="5:6" x14ac:dyDescent="0.3">
      <c r="E2013" s="39" t="s">
        <v>385</v>
      </c>
      <c r="F2013" s="46" t="s">
        <v>78</v>
      </c>
    </row>
    <row r="2014" spans="5:6" x14ac:dyDescent="0.3">
      <c r="E2014" s="38" t="s">
        <v>758</v>
      </c>
      <c r="F2014" s="45" t="s">
        <v>78</v>
      </c>
    </row>
    <row r="2015" spans="5:6" x14ac:dyDescent="0.3">
      <c r="E2015" s="39" t="s">
        <v>649</v>
      </c>
      <c r="F2015" s="46" t="s">
        <v>78</v>
      </c>
    </row>
    <row r="2016" spans="5:6" x14ac:dyDescent="0.3">
      <c r="E2016" s="38" t="s">
        <v>1535</v>
      </c>
      <c r="F2016" s="45" t="s">
        <v>78</v>
      </c>
    </row>
    <row r="2017" spans="5:6" x14ac:dyDescent="0.3">
      <c r="E2017" s="39" t="s">
        <v>759</v>
      </c>
      <c r="F2017" s="46" t="s">
        <v>78</v>
      </c>
    </row>
    <row r="2018" spans="5:6" x14ac:dyDescent="0.3">
      <c r="E2018" s="38" t="s">
        <v>764</v>
      </c>
      <c r="F2018" s="45" t="s">
        <v>78</v>
      </c>
    </row>
    <row r="2019" spans="5:6" x14ac:dyDescent="0.3">
      <c r="E2019" s="39" t="s">
        <v>903</v>
      </c>
      <c r="F2019" s="46" t="s">
        <v>78</v>
      </c>
    </row>
    <row r="2020" spans="5:6" x14ac:dyDescent="0.3">
      <c r="E2020" s="38" t="s">
        <v>1536</v>
      </c>
      <c r="F2020" s="45" t="s">
        <v>78</v>
      </c>
    </row>
    <row r="2021" spans="5:6" x14ac:dyDescent="0.3">
      <c r="E2021" s="39" t="s">
        <v>977</v>
      </c>
      <c r="F2021" s="46" t="s">
        <v>78</v>
      </c>
    </row>
    <row r="2022" spans="5:6" x14ac:dyDescent="0.3">
      <c r="E2022" s="38" t="s">
        <v>1537</v>
      </c>
      <c r="F2022" s="45" t="s">
        <v>78</v>
      </c>
    </row>
    <row r="2023" spans="5:6" x14ac:dyDescent="0.3">
      <c r="E2023" s="39" t="s">
        <v>1538</v>
      </c>
      <c r="F2023" s="46" t="s">
        <v>78</v>
      </c>
    </row>
    <row r="2024" spans="5:6" x14ac:dyDescent="0.3">
      <c r="E2024" s="38" t="s">
        <v>658</v>
      </c>
      <c r="F2024" s="45" t="s">
        <v>78</v>
      </c>
    </row>
    <row r="2025" spans="5:6" x14ac:dyDescent="0.3">
      <c r="E2025" s="39" t="s">
        <v>1195</v>
      </c>
      <c r="F2025" s="46" t="s">
        <v>78</v>
      </c>
    </row>
    <row r="2026" spans="5:6" x14ac:dyDescent="0.3">
      <c r="E2026" s="38" t="s">
        <v>1539</v>
      </c>
      <c r="F2026" s="45" t="s">
        <v>78</v>
      </c>
    </row>
    <row r="2027" spans="5:6" x14ac:dyDescent="0.3">
      <c r="E2027" s="39" t="s">
        <v>1198</v>
      </c>
      <c r="F2027" s="46" t="s">
        <v>78</v>
      </c>
    </row>
    <row r="2028" spans="5:6" x14ac:dyDescent="0.3">
      <c r="E2028" s="38" t="s">
        <v>769</v>
      </c>
      <c r="F2028" s="45" t="s">
        <v>78</v>
      </c>
    </row>
    <row r="2029" spans="5:6" x14ac:dyDescent="0.3">
      <c r="E2029" s="39" t="s">
        <v>1540</v>
      </c>
      <c r="F2029" s="46" t="s">
        <v>78</v>
      </c>
    </row>
    <row r="2030" spans="5:6" x14ac:dyDescent="0.3">
      <c r="E2030" s="38" t="s">
        <v>1541</v>
      </c>
      <c r="F2030" s="45" t="s">
        <v>78</v>
      </c>
    </row>
    <row r="2031" spans="5:6" x14ac:dyDescent="0.3">
      <c r="E2031" s="39" t="s">
        <v>922</v>
      </c>
      <c r="F2031" s="46" t="s">
        <v>78</v>
      </c>
    </row>
    <row r="2032" spans="5:6" x14ac:dyDescent="0.3">
      <c r="E2032" s="38" t="s">
        <v>862</v>
      </c>
      <c r="F2032" s="45" t="s">
        <v>78</v>
      </c>
    </row>
    <row r="2033" spans="5:6" x14ac:dyDescent="0.3">
      <c r="E2033" s="39" t="s">
        <v>1542</v>
      </c>
      <c r="F2033" s="46" t="s">
        <v>78</v>
      </c>
    </row>
    <row r="2034" spans="5:6" x14ac:dyDescent="0.3">
      <c r="E2034" s="38" t="s">
        <v>773</v>
      </c>
      <c r="F2034" s="45" t="s">
        <v>78</v>
      </c>
    </row>
    <row r="2035" spans="5:6" x14ac:dyDescent="0.3">
      <c r="E2035" s="39" t="s">
        <v>1205</v>
      </c>
      <c r="F2035" s="46" t="s">
        <v>78</v>
      </c>
    </row>
    <row r="2036" spans="5:6" x14ac:dyDescent="0.3">
      <c r="E2036" s="38" t="s">
        <v>1543</v>
      </c>
      <c r="F2036" s="45" t="s">
        <v>78</v>
      </c>
    </row>
    <row r="2037" spans="5:6" x14ac:dyDescent="0.3">
      <c r="E2037" s="39" t="s">
        <v>1544</v>
      </c>
      <c r="F2037" s="46" t="s">
        <v>78</v>
      </c>
    </row>
    <row r="2038" spans="5:6" x14ac:dyDescent="0.3">
      <c r="E2038" s="38" t="s">
        <v>1545</v>
      </c>
      <c r="F2038" s="45" t="s">
        <v>78</v>
      </c>
    </row>
    <row r="2039" spans="5:6" x14ac:dyDescent="0.3">
      <c r="E2039" s="39" t="s">
        <v>1546</v>
      </c>
      <c r="F2039" s="46" t="s">
        <v>78</v>
      </c>
    </row>
    <row r="2040" spans="5:6" x14ac:dyDescent="0.3">
      <c r="E2040" s="38" t="s">
        <v>1547</v>
      </c>
      <c r="F2040" s="45" t="s">
        <v>78</v>
      </c>
    </row>
    <row r="2041" spans="5:6" x14ac:dyDescent="0.3">
      <c r="E2041" s="39" t="s">
        <v>822</v>
      </c>
      <c r="F2041" s="46" t="s">
        <v>78</v>
      </c>
    </row>
    <row r="2042" spans="5:6" x14ac:dyDescent="0.3">
      <c r="E2042" s="38" t="s">
        <v>1548</v>
      </c>
      <c r="F2042" s="45" t="s">
        <v>78</v>
      </c>
    </row>
    <row r="2043" spans="5:6" x14ac:dyDescent="0.3">
      <c r="E2043" s="39" t="s">
        <v>467</v>
      </c>
      <c r="F2043" s="46" t="s">
        <v>77</v>
      </c>
    </row>
    <row r="2044" spans="5:6" x14ac:dyDescent="0.3">
      <c r="E2044" s="38" t="s">
        <v>783</v>
      </c>
      <c r="F2044" s="45" t="s">
        <v>77</v>
      </c>
    </row>
    <row r="2045" spans="5:6" x14ac:dyDescent="0.3">
      <c r="E2045" s="39" t="s">
        <v>1549</v>
      </c>
      <c r="F2045" s="46" t="s">
        <v>77</v>
      </c>
    </row>
    <row r="2046" spans="5:6" x14ac:dyDescent="0.3">
      <c r="E2046" s="38" t="s">
        <v>1550</v>
      </c>
      <c r="F2046" s="45" t="s">
        <v>77</v>
      </c>
    </row>
    <row r="2047" spans="5:6" x14ac:dyDescent="0.3">
      <c r="E2047" s="39" t="s">
        <v>1551</v>
      </c>
      <c r="F2047" s="46" t="s">
        <v>77</v>
      </c>
    </row>
    <row r="2048" spans="5:6" x14ac:dyDescent="0.3">
      <c r="E2048" s="38" t="s">
        <v>1552</v>
      </c>
      <c r="F2048" s="45" t="s">
        <v>77</v>
      </c>
    </row>
    <row r="2049" spans="5:6" x14ac:dyDescent="0.3">
      <c r="E2049" s="39" t="s">
        <v>1553</v>
      </c>
      <c r="F2049" s="46" t="s">
        <v>77</v>
      </c>
    </row>
    <row r="2050" spans="5:6" x14ac:dyDescent="0.3">
      <c r="E2050" s="38" t="s">
        <v>731</v>
      </c>
      <c r="F2050" s="45" t="s">
        <v>77</v>
      </c>
    </row>
    <row r="2051" spans="5:6" x14ac:dyDescent="0.3">
      <c r="E2051" s="39" t="s">
        <v>253</v>
      </c>
      <c r="F2051" s="46" t="s">
        <v>77</v>
      </c>
    </row>
    <row r="2052" spans="5:6" x14ac:dyDescent="0.3">
      <c r="E2052" s="38" t="s">
        <v>360</v>
      </c>
      <c r="F2052" s="45" t="s">
        <v>77</v>
      </c>
    </row>
    <row r="2053" spans="5:6" x14ac:dyDescent="0.3">
      <c r="E2053" s="39" t="s">
        <v>734</v>
      </c>
      <c r="F2053" s="46" t="s">
        <v>77</v>
      </c>
    </row>
    <row r="2054" spans="5:6" x14ac:dyDescent="0.3">
      <c r="E2054" s="38" t="s">
        <v>362</v>
      </c>
      <c r="F2054" s="45" t="s">
        <v>77</v>
      </c>
    </row>
    <row r="2055" spans="5:6" x14ac:dyDescent="0.3">
      <c r="E2055" s="39" t="s">
        <v>1554</v>
      </c>
      <c r="F2055" s="46" t="s">
        <v>77</v>
      </c>
    </row>
    <row r="2056" spans="5:6" x14ac:dyDescent="0.3">
      <c r="E2056" s="38" t="s">
        <v>736</v>
      </c>
      <c r="F2056" s="45" t="s">
        <v>77</v>
      </c>
    </row>
    <row r="2057" spans="5:6" x14ac:dyDescent="0.3">
      <c r="E2057" s="39" t="s">
        <v>1555</v>
      </c>
      <c r="F2057" s="46" t="s">
        <v>77</v>
      </c>
    </row>
    <row r="2058" spans="5:6" x14ac:dyDescent="0.3">
      <c r="E2058" s="38" t="s">
        <v>1556</v>
      </c>
      <c r="F2058" s="45" t="s">
        <v>77</v>
      </c>
    </row>
    <row r="2059" spans="5:6" x14ac:dyDescent="0.3">
      <c r="E2059" s="39" t="s">
        <v>367</v>
      </c>
      <c r="F2059" s="46" t="s">
        <v>77</v>
      </c>
    </row>
    <row r="2060" spans="5:6" x14ac:dyDescent="0.3">
      <c r="E2060" s="38" t="s">
        <v>1557</v>
      </c>
      <c r="F2060" s="45" t="s">
        <v>77</v>
      </c>
    </row>
    <row r="2061" spans="5:6" x14ac:dyDescent="0.3">
      <c r="E2061" s="39" t="s">
        <v>1558</v>
      </c>
      <c r="F2061" s="46" t="s">
        <v>77</v>
      </c>
    </row>
    <row r="2062" spans="5:6" x14ac:dyDescent="0.3">
      <c r="E2062" s="38" t="s">
        <v>1559</v>
      </c>
      <c r="F2062" s="45" t="s">
        <v>77</v>
      </c>
    </row>
    <row r="2063" spans="5:6" x14ac:dyDescent="0.3">
      <c r="E2063" s="39" t="s">
        <v>788</v>
      </c>
      <c r="F2063" s="46" t="s">
        <v>77</v>
      </c>
    </row>
    <row r="2064" spans="5:6" x14ac:dyDescent="0.3">
      <c r="E2064" s="38" t="s">
        <v>1432</v>
      </c>
      <c r="F2064" s="45" t="s">
        <v>77</v>
      </c>
    </row>
    <row r="2065" spans="5:6" x14ac:dyDescent="0.3">
      <c r="E2065" s="39" t="s">
        <v>521</v>
      </c>
      <c r="F2065" s="46" t="s">
        <v>77</v>
      </c>
    </row>
    <row r="2066" spans="5:6" x14ac:dyDescent="0.3">
      <c r="E2066" s="38" t="s">
        <v>275</v>
      </c>
      <c r="F2066" s="45" t="s">
        <v>77</v>
      </c>
    </row>
    <row r="2067" spans="5:6" x14ac:dyDescent="0.3">
      <c r="E2067" s="39" t="s">
        <v>276</v>
      </c>
      <c r="F2067" s="46" t="s">
        <v>77</v>
      </c>
    </row>
    <row r="2068" spans="5:6" x14ac:dyDescent="0.3">
      <c r="E2068" s="38" t="s">
        <v>373</v>
      </c>
      <c r="F2068" s="45" t="s">
        <v>77</v>
      </c>
    </row>
    <row r="2069" spans="5:6" x14ac:dyDescent="0.3">
      <c r="E2069" s="39" t="s">
        <v>1560</v>
      </c>
      <c r="F2069" s="46" t="s">
        <v>77</v>
      </c>
    </row>
    <row r="2070" spans="5:6" x14ac:dyDescent="0.3">
      <c r="E2070" s="38" t="s">
        <v>1561</v>
      </c>
      <c r="F2070" s="45" t="s">
        <v>77</v>
      </c>
    </row>
    <row r="2071" spans="5:6" x14ac:dyDescent="0.3">
      <c r="E2071" s="39" t="s">
        <v>278</v>
      </c>
      <c r="F2071" s="46" t="s">
        <v>77</v>
      </c>
    </row>
    <row r="2072" spans="5:6" x14ac:dyDescent="0.3">
      <c r="E2072" s="38" t="s">
        <v>1562</v>
      </c>
      <c r="F2072" s="45" t="s">
        <v>77</v>
      </c>
    </row>
    <row r="2073" spans="5:6" x14ac:dyDescent="0.3">
      <c r="E2073" s="39" t="s">
        <v>552</v>
      </c>
      <c r="F2073" s="46" t="s">
        <v>77</v>
      </c>
    </row>
    <row r="2074" spans="5:6" x14ac:dyDescent="0.3">
      <c r="E2074" s="38" t="s">
        <v>634</v>
      </c>
      <c r="F2074" s="45" t="s">
        <v>77</v>
      </c>
    </row>
    <row r="2075" spans="5:6" x14ac:dyDescent="0.3">
      <c r="E2075" s="39" t="s">
        <v>746</v>
      </c>
      <c r="F2075" s="46" t="s">
        <v>77</v>
      </c>
    </row>
    <row r="2076" spans="5:6" x14ac:dyDescent="0.3">
      <c r="E2076" s="38" t="s">
        <v>793</v>
      </c>
      <c r="F2076" s="45" t="s">
        <v>77</v>
      </c>
    </row>
    <row r="2077" spans="5:6" x14ac:dyDescent="0.3">
      <c r="E2077" s="39" t="s">
        <v>280</v>
      </c>
      <c r="F2077" s="46" t="s">
        <v>77</v>
      </c>
    </row>
    <row r="2078" spans="5:6" x14ac:dyDescent="0.3">
      <c r="E2078" s="38" t="s">
        <v>1563</v>
      </c>
      <c r="F2078" s="45" t="s">
        <v>77</v>
      </c>
    </row>
    <row r="2079" spans="5:6" x14ac:dyDescent="0.3">
      <c r="E2079" s="39" t="s">
        <v>1564</v>
      </c>
      <c r="F2079" s="46" t="s">
        <v>77</v>
      </c>
    </row>
    <row r="2080" spans="5:6" x14ac:dyDescent="0.3">
      <c r="E2080" s="38" t="s">
        <v>558</v>
      </c>
      <c r="F2080" s="45" t="s">
        <v>77</v>
      </c>
    </row>
    <row r="2081" spans="5:6" x14ac:dyDescent="0.3">
      <c r="E2081" s="39" t="s">
        <v>1114</v>
      </c>
      <c r="F2081" s="46" t="s">
        <v>77</v>
      </c>
    </row>
    <row r="2082" spans="5:6" x14ac:dyDescent="0.3">
      <c r="E2082" s="38" t="s">
        <v>282</v>
      </c>
      <c r="F2082" s="45" t="s">
        <v>77</v>
      </c>
    </row>
    <row r="2083" spans="5:6" x14ac:dyDescent="0.3">
      <c r="E2083" s="39" t="s">
        <v>283</v>
      </c>
      <c r="F2083" s="46" t="s">
        <v>77</v>
      </c>
    </row>
    <row r="2084" spans="5:6" x14ac:dyDescent="0.3">
      <c r="E2084" s="38" t="s">
        <v>754</v>
      </c>
      <c r="F2084" s="45" t="s">
        <v>77</v>
      </c>
    </row>
    <row r="2085" spans="5:6" x14ac:dyDescent="0.3">
      <c r="E2085" s="39" t="s">
        <v>427</v>
      </c>
      <c r="F2085" s="46" t="s">
        <v>77</v>
      </c>
    </row>
    <row r="2086" spans="5:6" x14ac:dyDescent="0.3">
      <c r="E2086" s="38" t="s">
        <v>286</v>
      </c>
      <c r="F2086" s="45" t="s">
        <v>77</v>
      </c>
    </row>
    <row r="2087" spans="5:6" x14ac:dyDescent="0.3">
      <c r="E2087" s="39" t="s">
        <v>1565</v>
      </c>
      <c r="F2087" s="46" t="s">
        <v>77</v>
      </c>
    </row>
    <row r="2088" spans="5:6" x14ac:dyDescent="0.3">
      <c r="E2088" s="38" t="s">
        <v>385</v>
      </c>
      <c r="F2088" s="45" t="s">
        <v>77</v>
      </c>
    </row>
    <row r="2089" spans="5:6" x14ac:dyDescent="0.3">
      <c r="E2089" s="39" t="s">
        <v>1566</v>
      </c>
      <c r="F2089" s="46" t="s">
        <v>77</v>
      </c>
    </row>
    <row r="2090" spans="5:6" x14ac:dyDescent="0.3">
      <c r="E2090" s="38" t="s">
        <v>847</v>
      </c>
      <c r="F2090" s="45" t="s">
        <v>77</v>
      </c>
    </row>
    <row r="2091" spans="5:6" x14ac:dyDescent="0.3">
      <c r="E2091" s="39" t="s">
        <v>291</v>
      </c>
      <c r="F2091" s="46" t="s">
        <v>77</v>
      </c>
    </row>
    <row r="2092" spans="5:6" x14ac:dyDescent="0.3">
      <c r="E2092" s="38" t="s">
        <v>1567</v>
      </c>
      <c r="F2092" s="45" t="s">
        <v>77</v>
      </c>
    </row>
    <row r="2093" spans="5:6" x14ac:dyDescent="0.3">
      <c r="E2093" s="39" t="s">
        <v>293</v>
      </c>
      <c r="F2093" s="46" t="s">
        <v>77</v>
      </c>
    </row>
    <row r="2094" spans="5:6" x14ac:dyDescent="0.3">
      <c r="E2094" s="38" t="s">
        <v>1568</v>
      </c>
      <c r="F2094" s="45" t="s">
        <v>77</v>
      </c>
    </row>
    <row r="2095" spans="5:6" x14ac:dyDescent="0.3">
      <c r="E2095" s="39" t="s">
        <v>1569</v>
      </c>
      <c r="F2095" s="46" t="s">
        <v>77</v>
      </c>
    </row>
    <row r="2096" spans="5:6" x14ac:dyDescent="0.3">
      <c r="E2096" s="38" t="s">
        <v>764</v>
      </c>
      <c r="F2096" s="45" t="s">
        <v>77</v>
      </c>
    </row>
    <row r="2097" spans="5:6" x14ac:dyDescent="0.3">
      <c r="E2097" s="39" t="s">
        <v>801</v>
      </c>
      <c r="F2097" s="46" t="s">
        <v>77</v>
      </c>
    </row>
    <row r="2098" spans="5:6" x14ac:dyDescent="0.3">
      <c r="E2098" s="38" t="s">
        <v>296</v>
      </c>
      <c r="F2098" s="45" t="s">
        <v>77</v>
      </c>
    </row>
    <row r="2099" spans="5:6" x14ac:dyDescent="0.3">
      <c r="E2099" s="39" t="s">
        <v>297</v>
      </c>
      <c r="F2099" s="46" t="s">
        <v>77</v>
      </c>
    </row>
    <row r="2100" spans="5:6" x14ac:dyDescent="0.3">
      <c r="E2100" s="38" t="s">
        <v>298</v>
      </c>
      <c r="F2100" s="45" t="s">
        <v>77</v>
      </c>
    </row>
    <row r="2101" spans="5:6" x14ac:dyDescent="0.3">
      <c r="E2101" s="39" t="s">
        <v>1570</v>
      </c>
      <c r="F2101" s="46" t="s">
        <v>77</v>
      </c>
    </row>
    <row r="2102" spans="5:6" x14ac:dyDescent="0.3">
      <c r="E2102" s="38" t="s">
        <v>1571</v>
      </c>
      <c r="F2102" s="45" t="s">
        <v>77</v>
      </c>
    </row>
    <row r="2103" spans="5:6" x14ac:dyDescent="0.3">
      <c r="E2103" s="39" t="s">
        <v>802</v>
      </c>
      <c r="F2103" s="46" t="s">
        <v>77</v>
      </c>
    </row>
    <row r="2104" spans="5:6" x14ac:dyDescent="0.3">
      <c r="E2104" s="38" t="s">
        <v>910</v>
      </c>
      <c r="F2104" s="45" t="s">
        <v>77</v>
      </c>
    </row>
    <row r="2105" spans="5:6" x14ac:dyDescent="0.3">
      <c r="E2105" s="39" t="s">
        <v>656</v>
      </c>
      <c r="F2105" s="46" t="s">
        <v>77</v>
      </c>
    </row>
    <row r="2106" spans="5:6" x14ac:dyDescent="0.3">
      <c r="E2106" s="38" t="s">
        <v>299</v>
      </c>
      <c r="F2106" s="45" t="s">
        <v>77</v>
      </c>
    </row>
    <row r="2107" spans="5:6" x14ac:dyDescent="0.3">
      <c r="E2107" s="39" t="s">
        <v>1572</v>
      </c>
      <c r="F2107" s="46" t="s">
        <v>77</v>
      </c>
    </row>
    <row r="2108" spans="5:6" x14ac:dyDescent="0.3">
      <c r="E2108" s="38" t="s">
        <v>301</v>
      </c>
      <c r="F2108" s="45" t="s">
        <v>77</v>
      </c>
    </row>
    <row r="2109" spans="5:6" x14ac:dyDescent="0.3">
      <c r="E2109" s="39" t="s">
        <v>1573</v>
      </c>
      <c r="F2109" s="46" t="s">
        <v>77</v>
      </c>
    </row>
    <row r="2110" spans="5:6" x14ac:dyDescent="0.3">
      <c r="E2110" s="38" t="s">
        <v>1574</v>
      </c>
      <c r="F2110" s="45" t="s">
        <v>77</v>
      </c>
    </row>
    <row r="2111" spans="5:6" x14ac:dyDescent="0.3">
      <c r="E2111" s="39" t="s">
        <v>572</v>
      </c>
      <c r="F2111" s="46" t="s">
        <v>77</v>
      </c>
    </row>
    <row r="2112" spans="5:6" x14ac:dyDescent="0.3">
      <c r="E2112" s="38" t="s">
        <v>769</v>
      </c>
      <c r="F2112" s="45" t="s">
        <v>77</v>
      </c>
    </row>
    <row r="2113" spans="5:6" x14ac:dyDescent="0.3">
      <c r="E2113" s="39" t="s">
        <v>1575</v>
      </c>
      <c r="F2113" s="46" t="s">
        <v>77</v>
      </c>
    </row>
    <row r="2114" spans="5:6" x14ac:dyDescent="0.3">
      <c r="E2114" s="38" t="s">
        <v>1576</v>
      </c>
      <c r="F2114" s="45" t="s">
        <v>77</v>
      </c>
    </row>
    <row r="2115" spans="5:6" x14ac:dyDescent="0.3">
      <c r="E2115" s="39" t="s">
        <v>1577</v>
      </c>
      <c r="F2115" s="46" t="s">
        <v>77</v>
      </c>
    </row>
    <row r="2116" spans="5:6" x14ac:dyDescent="0.3">
      <c r="E2116" s="38" t="s">
        <v>1447</v>
      </c>
      <c r="F2116" s="45" t="s">
        <v>77</v>
      </c>
    </row>
    <row r="2117" spans="5:6" x14ac:dyDescent="0.3">
      <c r="E2117" s="39" t="s">
        <v>305</v>
      </c>
      <c r="F2117" s="46" t="s">
        <v>77</v>
      </c>
    </row>
    <row r="2118" spans="5:6" x14ac:dyDescent="0.3">
      <c r="E2118" s="38" t="s">
        <v>773</v>
      </c>
      <c r="F2118" s="45" t="s">
        <v>77</v>
      </c>
    </row>
    <row r="2119" spans="5:6" x14ac:dyDescent="0.3">
      <c r="E2119" s="39" t="s">
        <v>518</v>
      </c>
      <c r="F2119" s="46" t="s">
        <v>77</v>
      </c>
    </row>
    <row r="2120" spans="5:6" x14ac:dyDescent="0.3">
      <c r="E2120" s="38" t="s">
        <v>1578</v>
      </c>
      <c r="F2120" s="45" t="s">
        <v>77</v>
      </c>
    </row>
    <row r="2121" spans="5:6" x14ac:dyDescent="0.3">
      <c r="E2121" s="39" t="s">
        <v>1579</v>
      </c>
      <c r="F2121" s="46" t="s">
        <v>77</v>
      </c>
    </row>
    <row r="2122" spans="5:6" x14ac:dyDescent="0.3">
      <c r="E2122" s="38" t="s">
        <v>406</v>
      </c>
      <c r="F2122" s="45" t="s">
        <v>77</v>
      </c>
    </row>
    <row r="2123" spans="5:6" x14ac:dyDescent="0.3">
      <c r="E2123" s="39" t="s">
        <v>1580</v>
      </c>
      <c r="F2123" s="46" t="s">
        <v>77</v>
      </c>
    </row>
    <row r="2124" spans="5:6" x14ac:dyDescent="0.3">
      <c r="E2124" s="38" t="s">
        <v>1581</v>
      </c>
      <c r="F2124" s="45" t="s">
        <v>77</v>
      </c>
    </row>
    <row r="2125" spans="5:6" x14ac:dyDescent="0.3">
      <c r="E2125" s="39" t="s">
        <v>683</v>
      </c>
      <c r="F2125" s="46" t="s">
        <v>77</v>
      </c>
    </row>
    <row r="2126" spans="5:6" x14ac:dyDescent="0.3">
      <c r="E2126" s="38" t="s">
        <v>311</v>
      </c>
      <c r="F2126" s="45" t="s">
        <v>77</v>
      </c>
    </row>
    <row r="2127" spans="5:6" x14ac:dyDescent="0.3">
      <c r="E2127" s="39" t="s">
        <v>684</v>
      </c>
      <c r="F2127" s="46" t="s">
        <v>77</v>
      </c>
    </row>
    <row r="2128" spans="5:6" x14ac:dyDescent="0.3">
      <c r="E2128" s="38" t="s">
        <v>1548</v>
      </c>
      <c r="F2128" s="45" t="s">
        <v>77</v>
      </c>
    </row>
    <row r="2129" spans="5:6" x14ac:dyDescent="0.3">
      <c r="E2129" s="39" t="s">
        <v>1582</v>
      </c>
      <c r="F2129" s="46" t="s">
        <v>77</v>
      </c>
    </row>
    <row r="2130" spans="5:6" x14ac:dyDescent="0.3">
      <c r="E2130" s="38" t="s">
        <v>1583</v>
      </c>
      <c r="F2130" s="45" t="s">
        <v>77</v>
      </c>
    </row>
    <row r="2131" spans="5:6" x14ac:dyDescent="0.3">
      <c r="E2131" s="39" t="s">
        <v>824</v>
      </c>
      <c r="F2131" s="46" t="s">
        <v>27</v>
      </c>
    </row>
    <row r="2132" spans="5:6" x14ac:dyDescent="0.3">
      <c r="E2132" s="38" t="s">
        <v>1584</v>
      </c>
      <c r="F2132" s="45" t="s">
        <v>27</v>
      </c>
    </row>
    <row r="2133" spans="5:6" x14ac:dyDescent="0.3">
      <c r="E2133" s="39" t="s">
        <v>1585</v>
      </c>
      <c r="F2133" s="46" t="s">
        <v>27</v>
      </c>
    </row>
    <row r="2134" spans="5:6" x14ac:dyDescent="0.3">
      <c r="E2134" s="38" t="s">
        <v>1586</v>
      </c>
      <c r="F2134" s="45" t="s">
        <v>27</v>
      </c>
    </row>
    <row r="2135" spans="5:6" x14ac:dyDescent="0.3">
      <c r="E2135" s="39" t="s">
        <v>1587</v>
      </c>
      <c r="F2135" s="46" t="s">
        <v>27</v>
      </c>
    </row>
    <row r="2136" spans="5:6" x14ac:dyDescent="0.3">
      <c r="E2136" s="38" t="s">
        <v>701</v>
      </c>
      <c r="F2136" s="45" t="s">
        <v>27</v>
      </c>
    </row>
    <row r="2137" spans="5:6" x14ac:dyDescent="0.3">
      <c r="E2137" s="39" t="s">
        <v>594</v>
      </c>
      <c r="F2137" s="46" t="s">
        <v>27</v>
      </c>
    </row>
    <row r="2138" spans="5:6" x14ac:dyDescent="0.3">
      <c r="E2138" s="38" t="s">
        <v>1588</v>
      </c>
      <c r="F2138" s="45" t="s">
        <v>27</v>
      </c>
    </row>
    <row r="2139" spans="5:6" x14ac:dyDescent="0.3">
      <c r="E2139" s="39" t="s">
        <v>1589</v>
      </c>
      <c r="F2139" s="46" t="s">
        <v>27</v>
      </c>
    </row>
    <row r="2140" spans="5:6" x14ac:dyDescent="0.3">
      <c r="E2140" s="38" t="s">
        <v>950</v>
      </c>
      <c r="F2140" s="45" t="s">
        <v>27</v>
      </c>
    </row>
    <row r="2141" spans="5:6" x14ac:dyDescent="0.3">
      <c r="E2141" s="39" t="s">
        <v>256</v>
      </c>
      <c r="F2141" s="46" t="s">
        <v>27</v>
      </c>
    </row>
    <row r="2142" spans="5:6" x14ac:dyDescent="0.3">
      <c r="E2142" s="38" t="s">
        <v>258</v>
      </c>
      <c r="F2142" s="45" t="s">
        <v>27</v>
      </c>
    </row>
    <row r="2143" spans="5:6" x14ac:dyDescent="0.3">
      <c r="E2143" s="39" t="s">
        <v>1590</v>
      </c>
      <c r="F2143" s="46" t="s">
        <v>27</v>
      </c>
    </row>
    <row r="2144" spans="5:6" x14ac:dyDescent="0.3">
      <c r="E2144" s="38" t="s">
        <v>363</v>
      </c>
      <c r="F2144" s="45" t="s">
        <v>27</v>
      </c>
    </row>
    <row r="2145" spans="5:6" x14ac:dyDescent="0.3">
      <c r="E2145" s="39" t="s">
        <v>1591</v>
      </c>
      <c r="F2145" s="46" t="s">
        <v>27</v>
      </c>
    </row>
    <row r="2146" spans="5:6" x14ac:dyDescent="0.3">
      <c r="E2146" s="38" t="s">
        <v>878</v>
      </c>
      <c r="F2146" s="45" t="s">
        <v>27</v>
      </c>
    </row>
    <row r="2147" spans="5:6" x14ac:dyDescent="0.3">
      <c r="E2147" s="39" t="s">
        <v>1592</v>
      </c>
      <c r="F2147" s="46" t="s">
        <v>27</v>
      </c>
    </row>
    <row r="2148" spans="5:6" x14ac:dyDescent="0.3">
      <c r="E2148" s="38" t="s">
        <v>1593</v>
      </c>
      <c r="F2148" s="45" t="s">
        <v>27</v>
      </c>
    </row>
    <row r="2149" spans="5:6" x14ac:dyDescent="0.3">
      <c r="E2149" s="39" t="s">
        <v>1594</v>
      </c>
      <c r="F2149" s="46" t="s">
        <v>27</v>
      </c>
    </row>
    <row r="2150" spans="5:6" x14ac:dyDescent="0.3">
      <c r="E2150" s="38" t="s">
        <v>480</v>
      </c>
      <c r="F2150" s="45" t="s">
        <v>27</v>
      </c>
    </row>
    <row r="2151" spans="5:6" x14ac:dyDescent="0.3">
      <c r="E2151" s="39" t="s">
        <v>788</v>
      </c>
      <c r="F2151" s="46" t="s">
        <v>27</v>
      </c>
    </row>
    <row r="2152" spans="5:6" x14ac:dyDescent="0.3">
      <c r="E2152" s="38" t="s">
        <v>1595</v>
      </c>
      <c r="F2152" s="45" t="s">
        <v>27</v>
      </c>
    </row>
    <row r="2153" spans="5:6" x14ac:dyDescent="0.3">
      <c r="E2153" s="39" t="s">
        <v>882</v>
      </c>
      <c r="F2153" s="46" t="s">
        <v>27</v>
      </c>
    </row>
    <row r="2154" spans="5:6" x14ac:dyDescent="0.3">
      <c r="E2154" s="38" t="s">
        <v>489</v>
      </c>
      <c r="F2154" s="45" t="s">
        <v>27</v>
      </c>
    </row>
    <row r="2155" spans="5:6" x14ac:dyDescent="0.3">
      <c r="E2155" s="39" t="s">
        <v>1596</v>
      </c>
      <c r="F2155" s="46" t="s">
        <v>27</v>
      </c>
    </row>
    <row r="2156" spans="5:6" x14ac:dyDescent="0.3">
      <c r="E2156" s="38" t="s">
        <v>630</v>
      </c>
      <c r="F2156" s="45" t="s">
        <v>27</v>
      </c>
    </row>
    <row r="2157" spans="5:6" x14ac:dyDescent="0.3">
      <c r="E2157" s="39" t="s">
        <v>375</v>
      </c>
      <c r="F2157" s="46" t="s">
        <v>27</v>
      </c>
    </row>
    <row r="2158" spans="5:6" x14ac:dyDescent="0.3">
      <c r="E2158" s="38" t="s">
        <v>1597</v>
      </c>
      <c r="F2158" s="45" t="s">
        <v>27</v>
      </c>
    </row>
    <row r="2159" spans="5:6" x14ac:dyDescent="0.3">
      <c r="E2159" s="39" t="s">
        <v>1598</v>
      </c>
      <c r="F2159" s="46" t="s">
        <v>27</v>
      </c>
    </row>
    <row r="2160" spans="5:6" x14ac:dyDescent="0.3">
      <c r="E2160" s="38" t="s">
        <v>890</v>
      </c>
      <c r="F2160" s="45" t="s">
        <v>27</v>
      </c>
    </row>
    <row r="2161" spans="5:6" x14ac:dyDescent="0.3">
      <c r="E2161" s="39" t="s">
        <v>892</v>
      </c>
      <c r="F2161" s="46" t="s">
        <v>27</v>
      </c>
    </row>
    <row r="2162" spans="5:6" x14ac:dyDescent="0.3">
      <c r="E2162" s="38" t="s">
        <v>1599</v>
      </c>
      <c r="F2162" s="45" t="s">
        <v>27</v>
      </c>
    </row>
    <row r="2163" spans="5:6" x14ac:dyDescent="0.3">
      <c r="E2163" s="39" t="s">
        <v>282</v>
      </c>
      <c r="F2163" s="46" t="s">
        <v>27</v>
      </c>
    </row>
    <row r="2164" spans="5:6" x14ac:dyDescent="0.3">
      <c r="E2164" s="38" t="s">
        <v>283</v>
      </c>
      <c r="F2164" s="45" t="s">
        <v>27</v>
      </c>
    </row>
    <row r="2165" spans="5:6" x14ac:dyDescent="0.3">
      <c r="E2165" s="39" t="s">
        <v>1489</v>
      </c>
      <c r="F2165" s="46" t="s">
        <v>27</v>
      </c>
    </row>
    <row r="2166" spans="5:6" x14ac:dyDescent="0.3">
      <c r="E2166" s="38" t="s">
        <v>1600</v>
      </c>
      <c r="F2166" s="45" t="s">
        <v>27</v>
      </c>
    </row>
    <row r="2167" spans="5:6" x14ac:dyDescent="0.3">
      <c r="E2167" s="39" t="s">
        <v>1601</v>
      </c>
      <c r="F2167" s="46" t="s">
        <v>27</v>
      </c>
    </row>
    <row r="2168" spans="5:6" x14ac:dyDescent="0.3">
      <c r="E2168" s="38" t="s">
        <v>495</v>
      </c>
      <c r="F2168" s="45" t="s">
        <v>27</v>
      </c>
    </row>
    <row r="2169" spans="5:6" x14ac:dyDescent="0.3">
      <c r="E2169" s="39" t="s">
        <v>1602</v>
      </c>
      <c r="F2169" s="46" t="s">
        <v>27</v>
      </c>
    </row>
    <row r="2170" spans="5:6" x14ac:dyDescent="0.3">
      <c r="E2170" s="38" t="s">
        <v>1603</v>
      </c>
      <c r="F2170" s="45" t="s">
        <v>27</v>
      </c>
    </row>
    <row r="2171" spans="5:6" x14ac:dyDescent="0.3">
      <c r="E2171" s="39" t="s">
        <v>383</v>
      </c>
      <c r="F2171" s="46" t="s">
        <v>27</v>
      </c>
    </row>
    <row r="2172" spans="5:6" x14ac:dyDescent="0.3">
      <c r="E2172" s="38" t="s">
        <v>385</v>
      </c>
      <c r="F2172" s="45" t="s">
        <v>27</v>
      </c>
    </row>
    <row r="2173" spans="5:6" x14ac:dyDescent="0.3">
      <c r="E2173" s="39" t="s">
        <v>1604</v>
      </c>
      <c r="F2173" s="46" t="s">
        <v>27</v>
      </c>
    </row>
    <row r="2174" spans="5:6" x14ac:dyDescent="0.3">
      <c r="E2174" s="38" t="s">
        <v>1605</v>
      </c>
      <c r="F2174" s="45" t="s">
        <v>27</v>
      </c>
    </row>
    <row r="2175" spans="5:6" x14ac:dyDescent="0.3">
      <c r="E2175" s="39" t="s">
        <v>1606</v>
      </c>
      <c r="F2175" s="46" t="s">
        <v>27</v>
      </c>
    </row>
    <row r="2176" spans="5:6" x14ac:dyDescent="0.3">
      <c r="E2176" s="38" t="s">
        <v>649</v>
      </c>
      <c r="F2176" s="45" t="s">
        <v>27</v>
      </c>
    </row>
    <row r="2177" spans="5:6" x14ac:dyDescent="0.3">
      <c r="E2177" s="39" t="s">
        <v>1607</v>
      </c>
      <c r="F2177" s="46" t="s">
        <v>27</v>
      </c>
    </row>
    <row r="2178" spans="5:6" x14ac:dyDescent="0.3">
      <c r="E2178" s="38" t="s">
        <v>294</v>
      </c>
      <c r="F2178" s="45" t="s">
        <v>27</v>
      </c>
    </row>
    <row r="2179" spans="5:6" x14ac:dyDescent="0.3">
      <c r="E2179" s="39" t="s">
        <v>1608</v>
      </c>
      <c r="F2179" s="46" t="s">
        <v>27</v>
      </c>
    </row>
    <row r="2180" spans="5:6" x14ac:dyDescent="0.3">
      <c r="E2180" s="38" t="s">
        <v>652</v>
      </c>
      <c r="F2180" s="45" t="s">
        <v>27</v>
      </c>
    </row>
    <row r="2181" spans="5:6" x14ac:dyDescent="0.3">
      <c r="E2181" s="39" t="s">
        <v>1609</v>
      </c>
      <c r="F2181" s="46" t="s">
        <v>27</v>
      </c>
    </row>
    <row r="2182" spans="5:6" x14ac:dyDescent="0.3">
      <c r="E2182" s="38" t="s">
        <v>802</v>
      </c>
      <c r="F2182" s="45" t="s">
        <v>27</v>
      </c>
    </row>
    <row r="2183" spans="5:6" x14ac:dyDescent="0.3">
      <c r="E2183" s="39" t="s">
        <v>1610</v>
      </c>
      <c r="F2183" s="46" t="s">
        <v>27</v>
      </c>
    </row>
    <row r="2184" spans="5:6" x14ac:dyDescent="0.3">
      <c r="E2184" s="38" t="s">
        <v>1611</v>
      </c>
      <c r="F2184" s="45" t="s">
        <v>27</v>
      </c>
    </row>
    <row r="2185" spans="5:6" x14ac:dyDescent="0.3">
      <c r="E2185" s="39" t="s">
        <v>1612</v>
      </c>
      <c r="F2185" s="46" t="s">
        <v>27</v>
      </c>
    </row>
    <row r="2186" spans="5:6" x14ac:dyDescent="0.3">
      <c r="E2186" s="38" t="s">
        <v>1613</v>
      </c>
      <c r="F2186" s="45" t="s">
        <v>27</v>
      </c>
    </row>
    <row r="2187" spans="5:6" x14ac:dyDescent="0.3">
      <c r="E2187" s="39" t="s">
        <v>908</v>
      </c>
      <c r="F2187" s="46" t="s">
        <v>27</v>
      </c>
    </row>
    <row r="2188" spans="5:6" x14ac:dyDescent="0.3">
      <c r="E2188" s="38" t="s">
        <v>910</v>
      </c>
      <c r="F2188" s="45" t="s">
        <v>27</v>
      </c>
    </row>
    <row r="2189" spans="5:6" x14ac:dyDescent="0.3">
      <c r="E2189" s="39" t="s">
        <v>911</v>
      </c>
      <c r="F2189" s="46" t="s">
        <v>27</v>
      </c>
    </row>
    <row r="2190" spans="5:6" x14ac:dyDescent="0.3">
      <c r="E2190" s="38" t="s">
        <v>1614</v>
      </c>
      <c r="F2190" s="45" t="s">
        <v>27</v>
      </c>
    </row>
    <row r="2191" spans="5:6" x14ac:dyDescent="0.3">
      <c r="E2191" s="39" t="s">
        <v>1615</v>
      </c>
      <c r="F2191" s="46" t="s">
        <v>27</v>
      </c>
    </row>
    <row r="2192" spans="5:6" x14ac:dyDescent="0.3">
      <c r="E2192" s="38" t="s">
        <v>1239</v>
      </c>
      <c r="F2192" s="45" t="s">
        <v>27</v>
      </c>
    </row>
    <row r="2193" spans="5:6" x14ac:dyDescent="0.3">
      <c r="E2193" s="39" t="s">
        <v>912</v>
      </c>
      <c r="F2193" s="46" t="s">
        <v>27</v>
      </c>
    </row>
    <row r="2194" spans="5:6" x14ac:dyDescent="0.3">
      <c r="E2194" s="38" t="s">
        <v>1616</v>
      </c>
      <c r="F2194" s="45" t="s">
        <v>27</v>
      </c>
    </row>
    <row r="2195" spans="5:6" x14ac:dyDescent="0.3">
      <c r="E2195" s="39" t="s">
        <v>1617</v>
      </c>
      <c r="F2195" s="46" t="s">
        <v>27</v>
      </c>
    </row>
    <row r="2196" spans="5:6" x14ac:dyDescent="0.3">
      <c r="E2196" s="38" t="s">
        <v>1618</v>
      </c>
      <c r="F2196" s="45" t="s">
        <v>27</v>
      </c>
    </row>
    <row r="2197" spans="5:6" x14ac:dyDescent="0.3">
      <c r="E2197" s="39" t="s">
        <v>577</v>
      </c>
      <c r="F2197" s="46" t="s">
        <v>27</v>
      </c>
    </row>
    <row r="2198" spans="5:6" x14ac:dyDescent="0.3">
      <c r="E2198" s="38" t="s">
        <v>1619</v>
      </c>
      <c r="F2198" s="45" t="s">
        <v>27</v>
      </c>
    </row>
    <row r="2199" spans="5:6" x14ac:dyDescent="0.3">
      <c r="E2199" s="39" t="s">
        <v>666</v>
      </c>
      <c r="F2199" s="46" t="s">
        <v>27</v>
      </c>
    </row>
    <row r="2200" spans="5:6" x14ac:dyDescent="0.3">
      <c r="E2200" s="38" t="s">
        <v>1290</v>
      </c>
      <c r="F2200" s="45" t="s">
        <v>27</v>
      </c>
    </row>
    <row r="2201" spans="5:6" x14ac:dyDescent="0.3">
      <c r="E2201" s="39" t="s">
        <v>1620</v>
      </c>
      <c r="F2201" s="46" t="s">
        <v>27</v>
      </c>
    </row>
    <row r="2202" spans="5:6" x14ac:dyDescent="0.3">
      <c r="E2202" s="38" t="s">
        <v>1621</v>
      </c>
      <c r="F2202" s="45" t="s">
        <v>27</v>
      </c>
    </row>
    <row r="2203" spans="5:6" x14ac:dyDescent="0.3">
      <c r="E2203" s="39" t="s">
        <v>1622</v>
      </c>
      <c r="F2203" s="46" t="s">
        <v>27</v>
      </c>
    </row>
    <row r="2204" spans="5:6" x14ac:dyDescent="0.3">
      <c r="E2204" s="38" t="s">
        <v>311</v>
      </c>
      <c r="F2204" s="45" t="s">
        <v>27</v>
      </c>
    </row>
    <row r="2205" spans="5:6" x14ac:dyDescent="0.3">
      <c r="E2205" s="39" t="s">
        <v>1623</v>
      </c>
      <c r="F2205" s="46" t="s">
        <v>27</v>
      </c>
    </row>
    <row r="2206" spans="5:6" x14ac:dyDescent="0.3">
      <c r="E2206" s="38" t="s">
        <v>1624</v>
      </c>
      <c r="F2206" s="45" t="s">
        <v>27</v>
      </c>
    </row>
    <row r="2207" spans="5:6" x14ac:dyDescent="0.3">
      <c r="E2207" s="39" t="s">
        <v>1625</v>
      </c>
      <c r="F2207" s="46" t="s">
        <v>27</v>
      </c>
    </row>
    <row r="2208" spans="5:6" x14ac:dyDescent="0.3">
      <c r="E2208" s="38" t="s">
        <v>535</v>
      </c>
      <c r="F2208" s="45" t="s">
        <v>76</v>
      </c>
    </row>
    <row r="2209" spans="5:6" x14ac:dyDescent="0.3">
      <c r="E2209" s="39" t="s">
        <v>357</v>
      </c>
      <c r="F2209" s="46" t="s">
        <v>76</v>
      </c>
    </row>
    <row r="2210" spans="5:6" x14ac:dyDescent="0.3">
      <c r="E2210" s="38" t="s">
        <v>1626</v>
      </c>
      <c r="F2210" s="45" t="s">
        <v>76</v>
      </c>
    </row>
    <row r="2211" spans="5:6" x14ac:dyDescent="0.3">
      <c r="E2211" s="39" t="s">
        <v>1627</v>
      </c>
      <c r="F2211" s="46" t="s">
        <v>76</v>
      </c>
    </row>
    <row r="2212" spans="5:6" x14ac:dyDescent="0.3">
      <c r="E2212" s="38" t="s">
        <v>364</v>
      </c>
      <c r="F2212" s="45" t="s">
        <v>76</v>
      </c>
    </row>
    <row r="2213" spans="5:6" x14ac:dyDescent="0.3">
      <c r="E2213" s="39" t="s">
        <v>1383</v>
      </c>
      <c r="F2213" s="46" t="s">
        <v>76</v>
      </c>
    </row>
    <row r="2214" spans="5:6" x14ac:dyDescent="0.3">
      <c r="E2214" s="38" t="s">
        <v>1628</v>
      </c>
      <c r="F2214" s="45" t="s">
        <v>76</v>
      </c>
    </row>
    <row r="2215" spans="5:6" x14ac:dyDescent="0.3">
      <c r="E2215" s="39" t="s">
        <v>1403</v>
      </c>
      <c r="F2215" s="46" t="s">
        <v>76</v>
      </c>
    </row>
    <row r="2216" spans="5:6" x14ac:dyDescent="0.3">
      <c r="E2216" s="38" t="s">
        <v>1629</v>
      </c>
      <c r="F2216" s="45" t="s">
        <v>76</v>
      </c>
    </row>
    <row r="2217" spans="5:6" x14ac:dyDescent="0.3">
      <c r="E2217" s="39" t="s">
        <v>484</v>
      </c>
      <c r="F2217" s="46" t="s">
        <v>76</v>
      </c>
    </row>
    <row r="2218" spans="5:6" x14ac:dyDescent="0.3">
      <c r="E2218" s="38" t="s">
        <v>1630</v>
      </c>
      <c r="F2218" s="45" t="s">
        <v>76</v>
      </c>
    </row>
    <row r="2219" spans="5:6" x14ac:dyDescent="0.3">
      <c r="E2219" s="39" t="s">
        <v>375</v>
      </c>
      <c r="F2219" s="46" t="s">
        <v>76</v>
      </c>
    </row>
    <row r="2220" spans="5:6" x14ac:dyDescent="0.3">
      <c r="E2220" s="38" t="s">
        <v>1631</v>
      </c>
      <c r="F2220" s="45" t="s">
        <v>76</v>
      </c>
    </row>
    <row r="2221" spans="5:6" x14ac:dyDescent="0.3">
      <c r="E2221" s="39" t="s">
        <v>1632</v>
      </c>
      <c r="F2221" s="46" t="s">
        <v>76</v>
      </c>
    </row>
    <row r="2222" spans="5:6" x14ac:dyDescent="0.3">
      <c r="E2222" s="38" t="s">
        <v>282</v>
      </c>
      <c r="F2222" s="45" t="s">
        <v>76</v>
      </c>
    </row>
    <row r="2223" spans="5:6" x14ac:dyDescent="0.3">
      <c r="E2223" s="39" t="s">
        <v>283</v>
      </c>
      <c r="F2223" s="46" t="s">
        <v>76</v>
      </c>
    </row>
    <row r="2224" spans="5:6" x14ac:dyDescent="0.3">
      <c r="E2224" s="38" t="s">
        <v>1633</v>
      </c>
      <c r="F2224" s="45" t="s">
        <v>76</v>
      </c>
    </row>
    <row r="2225" spans="5:6" x14ac:dyDescent="0.3">
      <c r="E2225" s="39" t="s">
        <v>1634</v>
      </c>
      <c r="F2225" s="46" t="s">
        <v>76</v>
      </c>
    </row>
    <row r="2226" spans="5:6" x14ac:dyDescent="0.3">
      <c r="E2226" s="38" t="s">
        <v>427</v>
      </c>
      <c r="F2226" s="45" t="s">
        <v>76</v>
      </c>
    </row>
    <row r="2227" spans="5:6" x14ac:dyDescent="0.3">
      <c r="E2227" s="39" t="s">
        <v>898</v>
      </c>
      <c r="F2227" s="46" t="s">
        <v>76</v>
      </c>
    </row>
    <row r="2228" spans="5:6" x14ac:dyDescent="0.3">
      <c r="E2228" s="38" t="s">
        <v>383</v>
      </c>
      <c r="F2228" s="45" t="s">
        <v>76</v>
      </c>
    </row>
    <row r="2229" spans="5:6" x14ac:dyDescent="0.3">
      <c r="E2229" s="39" t="s">
        <v>845</v>
      </c>
      <c r="F2229" s="46" t="s">
        <v>76</v>
      </c>
    </row>
    <row r="2230" spans="5:6" x14ac:dyDescent="0.3">
      <c r="E2230" s="38" t="s">
        <v>1635</v>
      </c>
      <c r="F2230" s="45" t="s">
        <v>76</v>
      </c>
    </row>
    <row r="2231" spans="5:6" x14ac:dyDescent="0.3">
      <c r="E2231" s="39" t="s">
        <v>293</v>
      </c>
      <c r="F2231" s="46" t="s">
        <v>76</v>
      </c>
    </row>
    <row r="2232" spans="5:6" x14ac:dyDescent="0.3">
      <c r="E2232" s="38" t="s">
        <v>1570</v>
      </c>
      <c r="F2232" s="45" t="s">
        <v>76</v>
      </c>
    </row>
    <row r="2233" spans="5:6" x14ac:dyDescent="0.3">
      <c r="E2233" s="39" t="s">
        <v>1636</v>
      </c>
      <c r="F2233" s="46" t="s">
        <v>76</v>
      </c>
    </row>
    <row r="2234" spans="5:6" x14ac:dyDescent="0.3">
      <c r="E2234" s="38" t="s">
        <v>394</v>
      </c>
      <c r="F2234" s="45" t="s">
        <v>76</v>
      </c>
    </row>
    <row r="2235" spans="5:6" x14ac:dyDescent="0.3">
      <c r="E2235" s="39" t="s">
        <v>923</v>
      </c>
      <c r="F2235" s="46" t="s">
        <v>76</v>
      </c>
    </row>
    <row r="2236" spans="5:6" x14ac:dyDescent="0.3">
      <c r="E2236" s="38" t="s">
        <v>1637</v>
      </c>
      <c r="F2236" s="45" t="s">
        <v>76</v>
      </c>
    </row>
    <row r="2237" spans="5:6" x14ac:dyDescent="0.3">
      <c r="E2237" s="39" t="s">
        <v>1638</v>
      </c>
      <c r="F2237" s="46" t="s">
        <v>76</v>
      </c>
    </row>
    <row r="2238" spans="5:6" x14ac:dyDescent="0.3">
      <c r="E2238" s="38" t="s">
        <v>406</v>
      </c>
      <c r="F2238" s="45" t="s">
        <v>76</v>
      </c>
    </row>
    <row r="2239" spans="5:6" x14ac:dyDescent="0.3">
      <c r="E2239" s="39" t="s">
        <v>1639</v>
      </c>
      <c r="F2239" s="46" t="s">
        <v>76</v>
      </c>
    </row>
    <row r="2240" spans="5:6" x14ac:dyDescent="0.3">
      <c r="E2240" s="38" t="s">
        <v>1640</v>
      </c>
      <c r="F2240" s="45" t="s">
        <v>76</v>
      </c>
    </row>
    <row r="2241" spans="5:6" x14ac:dyDescent="0.3">
      <c r="E2241" s="39" t="s">
        <v>311</v>
      </c>
      <c r="F2241" s="46" t="s">
        <v>76</v>
      </c>
    </row>
    <row r="2242" spans="5:6" x14ac:dyDescent="0.3">
      <c r="E2242" s="38" t="s">
        <v>686</v>
      </c>
      <c r="F2242" s="45" t="s">
        <v>76</v>
      </c>
    </row>
    <row r="2243" spans="5:6" x14ac:dyDescent="0.3">
      <c r="E2243" s="39" t="s">
        <v>1641</v>
      </c>
      <c r="F2243" s="46" t="s">
        <v>76</v>
      </c>
    </row>
    <row r="2244" spans="5:6" x14ac:dyDescent="0.3">
      <c r="E2244" s="38" t="s">
        <v>467</v>
      </c>
      <c r="F2244" s="45" t="s">
        <v>75</v>
      </c>
    </row>
    <row r="2245" spans="5:6" x14ac:dyDescent="0.3">
      <c r="E2245" s="39" t="s">
        <v>1642</v>
      </c>
      <c r="F2245" s="46" t="s">
        <v>75</v>
      </c>
    </row>
    <row r="2246" spans="5:6" x14ac:dyDescent="0.3">
      <c r="E2246" s="38" t="s">
        <v>1643</v>
      </c>
      <c r="F2246" s="45" t="s">
        <v>75</v>
      </c>
    </row>
    <row r="2247" spans="5:6" x14ac:dyDescent="0.3">
      <c r="E2247" s="39" t="s">
        <v>1586</v>
      </c>
      <c r="F2247" s="46" t="s">
        <v>75</v>
      </c>
    </row>
    <row r="2248" spans="5:6" x14ac:dyDescent="0.3">
      <c r="E2248" s="38" t="s">
        <v>1644</v>
      </c>
      <c r="F2248" s="45" t="s">
        <v>75</v>
      </c>
    </row>
    <row r="2249" spans="5:6" x14ac:dyDescent="0.3">
      <c r="E2249" s="39" t="s">
        <v>1645</v>
      </c>
      <c r="F2249" s="46" t="s">
        <v>75</v>
      </c>
    </row>
    <row r="2250" spans="5:6" x14ac:dyDescent="0.3">
      <c r="E2250" s="38" t="s">
        <v>1646</v>
      </c>
      <c r="F2250" s="45" t="s">
        <v>75</v>
      </c>
    </row>
    <row r="2251" spans="5:6" x14ac:dyDescent="0.3">
      <c r="E2251" s="39" t="s">
        <v>537</v>
      </c>
      <c r="F2251" s="46" t="s">
        <v>75</v>
      </c>
    </row>
    <row r="2252" spans="5:6" x14ac:dyDescent="0.3">
      <c r="E2252" s="38" t="s">
        <v>1647</v>
      </c>
      <c r="F2252" s="45" t="s">
        <v>75</v>
      </c>
    </row>
    <row r="2253" spans="5:6" x14ac:dyDescent="0.3">
      <c r="E2253" s="39" t="s">
        <v>253</v>
      </c>
      <c r="F2253" s="46" t="s">
        <v>75</v>
      </c>
    </row>
    <row r="2254" spans="5:6" x14ac:dyDescent="0.3">
      <c r="E2254" s="38" t="s">
        <v>1648</v>
      </c>
      <c r="F2254" s="45" t="s">
        <v>75</v>
      </c>
    </row>
    <row r="2255" spans="5:6" x14ac:dyDescent="0.3">
      <c r="E2255" s="39" t="s">
        <v>1649</v>
      </c>
      <c r="F2255" s="46" t="s">
        <v>75</v>
      </c>
    </row>
    <row r="2256" spans="5:6" x14ac:dyDescent="0.3">
      <c r="E2256" s="38" t="s">
        <v>1296</v>
      </c>
      <c r="F2256" s="45" t="s">
        <v>75</v>
      </c>
    </row>
    <row r="2257" spans="5:6" x14ac:dyDescent="0.3">
      <c r="E2257" s="39" t="s">
        <v>1650</v>
      </c>
      <c r="F2257" s="46" t="s">
        <v>75</v>
      </c>
    </row>
    <row r="2258" spans="5:6" x14ac:dyDescent="0.3">
      <c r="E2258" s="38" t="s">
        <v>1651</v>
      </c>
      <c r="F2258" s="45" t="s">
        <v>75</v>
      </c>
    </row>
    <row r="2259" spans="5:6" x14ac:dyDescent="0.3">
      <c r="E2259" s="39" t="s">
        <v>1652</v>
      </c>
      <c r="F2259" s="46" t="s">
        <v>75</v>
      </c>
    </row>
    <row r="2260" spans="5:6" x14ac:dyDescent="0.3">
      <c r="E2260" s="38" t="s">
        <v>1653</v>
      </c>
      <c r="F2260" s="45" t="s">
        <v>75</v>
      </c>
    </row>
    <row r="2261" spans="5:6" x14ac:dyDescent="0.3">
      <c r="E2261" s="39" t="s">
        <v>736</v>
      </c>
      <c r="F2261" s="46" t="s">
        <v>75</v>
      </c>
    </row>
    <row r="2262" spans="5:6" x14ac:dyDescent="0.3">
      <c r="E2262" s="38" t="s">
        <v>364</v>
      </c>
      <c r="F2262" s="45" t="s">
        <v>75</v>
      </c>
    </row>
    <row r="2263" spans="5:6" x14ac:dyDescent="0.3">
      <c r="E2263" s="39" t="s">
        <v>367</v>
      </c>
      <c r="F2263" s="46" t="s">
        <v>75</v>
      </c>
    </row>
    <row r="2264" spans="5:6" x14ac:dyDescent="0.3">
      <c r="E2264" s="38" t="s">
        <v>738</v>
      </c>
      <c r="F2264" s="45" t="s">
        <v>75</v>
      </c>
    </row>
    <row r="2265" spans="5:6" x14ac:dyDescent="0.3">
      <c r="E2265" s="39" t="s">
        <v>1654</v>
      </c>
      <c r="F2265" s="46" t="s">
        <v>75</v>
      </c>
    </row>
    <row r="2266" spans="5:6" x14ac:dyDescent="0.3">
      <c r="E2266" s="38" t="s">
        <v>788</v>
      </c>
      <c r="F2266" s="45" t="s">
        <v>75</v>
      </c>
    </row>
    <row r="2267" spans="5:6" x14ac:dyDescent="0.3">
      <c r="E2267" s="39" t="s">
        <v>881</v>
      </c>
      <c r="F2267" s="46" t="s">
        <v>75</v>
      </c>
    </row>
    <row r="2268" spans="5:6" x14ac:dyDescent="0.3">
      <c r="E2268" s="38" t="s">
        <v>1432</v>
      </c>
      <c r="F2268" s="45" t="s">
        <v>75</v>
      </c>
    </row>
    <row r="2269" spans="5:6" x14ac:dyDescent="0.3">
      <c r="E2269" s="39" t="s">
        <v>275</v>
      </c>
      <c r="F2269" s="46" t="s">
        <v>75</v>
      </c>
    </row>
    <row r="2270" spans="5:6" x14ac:dyDescent="0.3">
      <c r="E2270" s="38" t="s">
        <v>1655</v>
      </c>
      <c r="F2270" s="45" t="s">
        <v>75</v>
      </c>
    </row>
    <row r="2271" spans="5:6" x14ac:dyDescent="0.3">
      <c r="E2271" s="39" t="s">
        <v>276</v>
      </c>
      <c r="F2271" s="46" t="s">
        <v>75</v>
      </c>
    </row>
    <row r="2272" spans="5:6" x14ac:dyDescent="0.3">
      <c r="E2272" s="38" t="s">
        <v>373</v>
      </c>
      <c r="F2272" s="45" t="s">
        <v>75</v>
      </c>
    </row>
    <row r="2273" spans="5:6" x14ac:dyDescent="0.3">
      <c r="E2273" s="39" t="s">
        <v>278</v>
      </c>
      <c r="F2273" s="46" t="s">
        <v>75</v>
      </c>
    </row>
    <row r="2274" spans="5:6" x14ac:dyDescent="0.3">
      <c r="E2274" s="38" t="s">
        <v>1656</v>
      </c>
      <c r="F2274" s="45" t="s">
        <v>75</v>
      </c>
    </row>
    <row r="2275" spans="5:6" x14ac:dyDescent="0.3">
      <c r="E2275" s="39" t="s">
        <v>1657</v>
      </c>
      <c r="F2275" s="46" t="s">
        <v>75</v>
      </c>
    </row>
    <row r="2276" spans="5:6" x14ac:dyDescent="0.3">
      <c r="E2276" s="38" t="s">
        <v>283</v>
      </c>
      <c r="F2276" s="45" t="s">
        <v>75</v>
      </c>
    </row>
    <row r="2277" spans="5:6" x14ac:dyDescent="0.3">
      <c r="E2277" s="39" t="s">
        <v>1658</v>
      </c>
      <c r="F2277" s="46" t="s">
        <v>75</v>
      </c>
    </row>
    <row r="2278" spans="5:6" x14ac:dyDescent="0.3">
      <c r="E2278" s="38" t="s">
        <v>1659</v>
      </c>
      <c r="F2278" s="45" t="s">
        <v>75</v>
      </c>
    </row>
    <row r="2279" spans="5:6" x14ac:dyDescent="0.3">
      <c r="E2279" s="39" t="s">
        <v>1355</v>
      </c>
      <c r="F2279" s="46" t="s">
        <v>75</v>
      </c>
    </row>
    <row r="2280" spans="5:6" x14ac:dyDescent="0.3">
      <c r="E2280" s="38" t="s">
        <v>286</v>
      </c>
      <c r="F2280" s="45" t="s">
        <v>75</v>
      </c>
    </row>
    <row r="2281" spans="5:6" x14ac:dyDescent="0.3">
      <c r="E2281" s="39" t="s">
        <v>1660</v>
      </c>
      <c r="F2281" s="46" t="s">
        <v>75</v>
      </c>
    </row>
    <row r="2282" spans="5:6" x14ac:dyDescent="0.3">
      <c r="E2282" s="38" t="s">
        <v>1661</v>
      </c>
      <c r="F2282" s="45" t="s">
        <v>75</v>
      </c>
    </row>
    <row r="2283" spans="5:6" x14ac:dyDescent="0.3">
      <c r="E2283" s="39" t="s">
        <v>1662</v>
      </c>
      <c r="F2283" s="46" t="s">
        <v>75</v>
      </c>
    </row>
    <row r="2284" spans="5:6" x14ac:dyDescent="0.3">
      <c r="E2284" s="38" t="s">
        <v>1663</v>
      </c>
      <c r="F2284" s="45" t="s">
        <v>75</v>
      </c>
    </row>
    <row r="2285" spans="5:6" x14ac:dyDescent="0.3">
      <c r="E2285" s="39" t="s">
        <v>1664</v>
      </c>
      <c r="F2285" s="46" t="s">
        <v>75</v>
      </c>
    </row>
    <row r="2286" spans="5:6" x14ac:dyDescent="0.3">
      <c r="E2286" s="38" t="s">
        <v>764</v>
      </c>
      <c r="F2286" s="45" t="s">
        <v>75</v>
      </c>
    </row>
    <row r="2287" spans="5:6" x14ac:dyDescent="0.3">
      <c r="E2287" s="39" t="s">
        <v>1665</v>
      </c>
      <c r="F2287" s="46" t="s">
        <v>75</v>
      </c>
    </row>
    <row r="2288" spans="5:6" x14ac:dyDescent="0.3">
      <c r="E2288" s="38" t="s">
        <v>296</v>
      </c>
      <c r="F2288" s="45" t="s">
        <v>75</v>
      </c>
    </row>
    <row r="2289" spans="5:6" x14ac:dyDescent="0.3">
      <c r="E2289" s="39" t="s">
        <v>297</v>
      </c>
      <c r="F2289" s="46" t="s">
        <v>75</v>
      </c>
    </row>
    <row r="2290" spans="5:6" x14ac:dyDescent="0.3">
      <c r="E2290" s="38" t="s">
        <v>1666</v>
      </c>
      <c r="F2290" s="45" t="s">
        <v>75</v>
      </c>
    </row>
    <row r="2291" spans="5:6" x14ac:dyDescent="0.3">
      <c r="E2291" s="39" t="s">
        <v>1496</v>
      </c>
      <c r="F2291" s="46" t="s">
        <v>75</v>
      </c>
    </row>
    <row r="2292" spans="5:6" x14ac:dyDescent="0.3">
      <c r="E2292" s="38" t="s">
        <v>1667</v>
      </c>
      <c r="F2292" s="45" t="s">
        <v>75</v>
      </c>
    </row>
    <row r="2293" spans="5:6" x14ac:dyDescent="0.3">
      <c r="E2293" s="39" t="s">
        <v>299</v>
      </c>
      <c r="F2293" s="46" t="s">
        <v>75</v>
      </c>
    </row>
    <row r="2294" spans="5:6" x14ac:dyDescent="0.3">
      <c r="E2294" s="38" t="s">
        <v>1668</v>
      </c>
      <c r="F2294" s="45" t="s">
        <v>75</v>
      </c>
    </row>
    <row r="2295" spans="5:6" x14ac:dyDescent="0.3">
      <c r="E2295" s="39" t="s">
        <v>301</v>
      </c>
      <c r="F2295" s="46" t="s">
        <v>75</v>
      </c>
    </row>
    <row r="2296" spans="5:6" x14ac:dyDescent="0.3">
      <c r="E2296" s="38" t="s">
        <v>1669</v>
      </c>
      <c r="F2296" s="45" t="s">
        <v>75</v>
      </c>
    </row>
    <row r="2297" spans="5:6" x14ac:dyDescent="0.3">
      <c r="E2297" s="39" t="s">
        <v>1670</v>
      </c>
      <c r="F2297" s="46" t="s">
        <v>75</v>
      </c>
    </row>
    <row r="2298" spans="5:6" x14ac:dyDescent="0.3">
      <c r="E2298" s="38" t="s">
        <v>1671</v>
      </c>
      <c r="F2298" s="45" t="s">
        <v>75</v>
      </c>
    </row>
    <row r="2299" spans="5:6" x14ac:dyDescent="0.3">
      <c r="E2299" s="39" t="s">
        <v>1062</v>
      </c>
      <c r="F2299" s="46" t="s">
        <v>75</v>
      </c>
    </row>
    <row r="2300" spans="5:6" x14ac:dyDescent="0.3">
      <c r="E2300" s="38" t="s">
        <v>814</v>
      </c>
      <c r="F2300" s="45" t="s">
        <v>75</v>
      </c>
    </row>
    <row r="2301" spans="5:6" x14ac:dyDescent="0.3">
      <c r="E2301" s="39" t="s">
        <v>1672</v>
      </c>
      <c r="F2301" s="46" t="s">
        <v>75</v>
      </c>
    </row>
    <row r="2302" spans="5:6" x14ac:dyDescent="0.3">
      <c r="E2302" s="38" t="s">
        <v>1448</v>
      </c>
      <c r="F2302" s="45" t="s">
        <v>75</v>
      </c>
    </row>
    <row r="2303" spans="5:6" x14ac:dyDescent="0.3">
      <c r="E2303" s="39" t="s">
        <v>406</v>
      </c>
      <c r="F2303" s="46" t="s">
        <v>75</v>
      </c>
    </row>
    <row r="2304" spans="5:6" x14ac:dyDescent="0.3">
      <c r="E2304" s="38" t="s">
        <v>1673</v>
      </c>
      <c r="F2304" s="45" t="s">
        <v>75</v>
      </c>
    </row>
    <row r="2305" spans="5:6" x14ac:dyDescent="0.3">
      <c r="E2305" s="39" t="s">
        <v>683</v>
      </c>
      <c r="F2305" s="46" t="s">
        <v>75</v>
      </c>
    </row>
    <row r="2306" spans="5:6" x14ac:dyDescent="0.3">
      <c r="E2306" s="38" t="s">
        <v>311</v>
      </c>
      <c r="F2306" s="45" t="s">
        <v>75</v>
      </c>
    </row>
    <row r="2307" spans="5:6" x14ac:dyDescent="0.3">
      <c r="E2307" s="39" t="s">
        <v>684</v>
      </c>
      <c r="F2307" s="46" t="s">
        <v>75</v>
      </c>
    </row>
    <row r="2308" spans="5:6" x14ac:dyDescent="0.3">
      <c r="E2308" s="38" t="s">
        <v>1674</v>
      </c>
      <c r="F2308" s="45" t="s">
        <v>75</v>
      </c>
    </row>
    <row r="2309" spans="5:6" x14ac:dyDescent="0.3">
      <c r="E2309" s="39" t="s">
        <v>1452</v>
      </c>
      <c r="F2309" s="46" t="s">
        <v>75</v>
      </c>
    </row>
    <row r="2310" spans="5:6" x14ac:dyDescent="0.3">
      <c r="E2310" s="38" t="s">
        <v>1064</v>
      </c>
      <c r="F2310" s="45" t="s">
        <v>75</v>
      </c>
    </row>
    <row r="2311" spans="5:6" x14ac:dyDescent="0.3">
      <c r="E2311" s="39" t="s">
        <v>1084</v>
      </c>
      <c r="F2311" s="46" t="s">
        <v>73</v>
      </c>
    </row>
    <row r="2312" spans="5:6" x14ac:dyDescent="0.3">
      <c r="E2312" s="38" t="s">
        <v>529</v>
      </c>
      <c r="F2312" s="45" t="s">
        <v>73</v>
      </c>
    </row>
    <row r="2313" spans="5:6" x14ac:dyDescent="0.3">
      <c r="E2313" s="39" t="s">
        <v>1675</v>
      </c>
      <c r="F2313" s="46" t="s">
        <v>73</v>
      </c>
    </row>
    <row r="2314" spans="5:6" x14ac:dyDescent="0.3">
      <c r="E2314" s="38" t="s">
        <v>1676</v>
      </c>
      <c r="F2314" s="45" t="s">
        <v>73</v>
      </c>
    </row>
    <row r="2315" spans="5:6" x14ac:dyDescent="0.3">
      <c r="E2315" s="39" t="s">
        <v>311</v>
      </c>
      <c r="F2315" s="46" t="s">
        <v>73</v>
      </c>
    </row>
    <row r="2316" spans="5:6" x14ac:dyDescent="0.3">
      <c r="E2316" s="38" t="s">
        <v>1677</v>
      </c>
      <c r="F2316" s="45" t="s">
        <v>72</v>
      </c>
    </row>
    <row r="2317" spans="5:6" x14ac:dyDescent="0.3">
      <c r="E2317" s="39" t="s">
        <v>1678</v>
      </c>
      <c r="F2317" s="46" t="s">
        <v>72</v>
      </c>
    </row>
    <row r="2318" spans="5:6" x14ac:dyDescent="0.3">
      <c r="E2318" s="38" t="s">
        <v>1679</v>
      </c>
      <c r="F2318" s="45" t="s">
        <v>72</v>
      </c>
    </row>
    <row r="2319" spans="5:6" x14ac:dyDescent="0.3">
      <c r="E2319" s="39" t="s">
        <v>869</v>
      </c>
      <c r="F2319" s="46" t="s">
        <v>72</v>
      </c>
    </row>
    <row r="2320" spans="5:6" x14ac:dyDescent="0.3">
      <c r="E2320" s="38" t="s">
        <v>1680</v>
      </c>
      <c r="F2320" s="45" t="s">
        <v>72</v>
      </c>
    </row>
    <row r="2321" spans="5:6" x14ac:dyDescent="0.3">
      <c r="E2321" s="39" t="s">
        <v>1681</v>
      </c>
      <c r="F2321" s="46" t="s">
        <v>72</v>
      </c>
    </row>
    <row r="2322" spans="5:6" x14ac:dyDescent="0.3">
      <c r="E2322" s="38" t="s">
        <v>1459</v>
      </c>
      <c r="F2322" s="45" t="s">
        <v>72</v>
      </c>
    </row>
    <row r="2323" spans="5:6" x14ac:dyDescent="0.3">
      <c r="E2323" s="39" t="s">
        <v>1682</v>
      </c>
      <c r="F2323" s="46" t="s">
        <v>72</v>
      </c>
    </row>
    <row r="2324" spans="5:6" x14ac:dyDescent="0.3">
      <c r="E2324" s="38" t="s">
        <v>254</v>
      </c>
      <c r="F2324" s="45" t="s">
        <v>72</v>
      </c>
    </row>
    <row r="2325" spans="5:6" x14ac:dyDescent="0.3">
      <c r="E2325" s="39" t="s">
        <v>1683</v>
      </c>
      <c r="F2325" s="46" t="s">
        <v>72</v>
      </c>
    </row>
    <row r="2326" spans="5:6" x14ac:dyDescent="0.3">
      <c r="E2326" s="38" t="s">
        <v>256</v>
      </c>
      <c r="F2326" s="45" t="s">
        <v>72</v>
      </c>
    </row>
    <row r="2327" spans="5:6" x14ac:dyDescent="0.3">
      <c r="E2327" s="39" t="s">
        <v>1651</v>
      </c>
      <c r="F2327" s="46" t="s">
        <v>72</v>
      </c>
    </row>
    <row r="2328" spans="5:6" x14ac:dyDescent="0.3">
      <c r="E2328" s="38" t="s">
        <v>1684</v>
      </c>
      <c r="F2328" s="45" t="s">
        <v>72</v>
      </c>
    </row>
    <row r="2329" spans="5:6" x14ac:dyDescent="0.3">
      <c r="E2329" s="39" t="s">
        <v>1685</v>
      </c>
      <c r="F2329" s="46" t="s">
        <v>72</v>
      </c>
    </row>
    <row r="2330" spans="5:6" x14ac:dyDescent="0.3">
      <c r="E2330" s="38" t="s">
        <v>1686</v>
      </c>
      <c r="F2330" s="45" t="s">
        <v>72</v>
      </c>
    </row>
    <row r="2331" spans="5:6" x14ac:dyDescent="0.3">
      <c r="E2331" s="39" t="s">
        <v>1687</v>
      </c>
      <c r="F2331" s="46" t="s">
        <v>72</v>
      </c>
    </row>
    <row r="2332" spans="5:6" x14ac:dyDescent="0.3">
      <c r="E2332" s="38" t="s">
        <v>1688</v>
      </c>
      <c r="F2332" s="45" t="s">
        <v>72</v>
      </c>
    </row>
    <row r="2333" spans="5:6" x14ac:dyDescent="0.3">
      <c r="E2333" s="39" t="s">
        <v>1072</v>
      </c>
      <c r="F2333" s="46" t="s">
        <v>72</v>
      </c>
    </row>
    <row r="2334" spans="5:6" x14ac:dyDescent="0.3">
      <c r="E2334" s="38" t="s">
        <v>1689</v>
      </c>
      <c r="F2334" s="45" t="s">
        <v>72</v>
      </c>
    </row>
    <row r="2335" spans="5:6" x14ac:dyDescent="0.3">
      <c r="E2335" s="39" t="s">
        <v>521</v>
      </c>
      <c r="F2335" s="46" t="s">
        <v>72</v>
      </c>
    </row>
    <row r="2336" spans="5:6" x14ac:dyDescent="0.3">
      <c r="E2336" s="38" t="s">
        <v>1690</v>
      </c>
      <c r="F2336" s="45" t="s">
        <v>72</v>
      </c>
    </row>
    <row r="2337" spans="5:6" x14ac:dyDescent="0.3">
      <c r="E2337" s="39" t="s">
        <v>1691</v>
      </c>
      <c r="F2337" s="46" t="s">
        <v>72</v>
      </c>
    </row>
    <row r="2338" spans="5:6" x14ac:dyDescent="0.3">
      <c r="E2338" s="38" t="s">
        <v>1692</v>
      </c>
      <c r="F2338" s="45" t="s">
        <v>72</v>
      </c>
    </row>
    <row r="2339" spans="5:6" x14ac:dyDescent="0.3">
      <c r="E2339" s="39" t="s">
        <v>889</v>
      </c>
      <c r="F2339" s="46" t="s">
        <v>72</v>
      </c>
    </row>
    <row r="2340" spans="5:6" x14ac:dyDescent="0.3">
      <c r="E2340" s="38" t="s">
        <v>1693</v>
      </c>
      <c r="F2340" s="45" t="s">
        <v>72</v>
      </c>
    </row>
    <row r="2341" spans="5:6" x14ac:dyDescent="0.3">
      <c r="E2341" s="39" t="s">
        <v>1694</v>
      </c>
      <c r="F2341" s="46" t="s">
        <v>72</v>
      </c>
    </row>
    <row r="2342" spans="5:6" x14ac:dyDescent="0.3">
      <c r="E2342" s="38" t="s">
        <v>640</v>
      </c>
      <c r="F2342" s="45" t="s">
        <v>72</v>
      </c>
    </row>
    <row r="2343" spans="5:6" x14ac:dyDescent="0.3">
      <c r="E2343" s="39" t="s">
        <v>1695</v>
      </c>
      <c r="F2343" s="46" t="s">
        <v>72</v>
      </c>
    </row>
    <row r="2344" spans="5:6" x14ac:dyDescent="0.3">
      <c r="E2344" s="38" t="s">
        <v>1355</v>
      </c>
      <c r="F2344" s="45" t="s">
        <v>72</v>
      </c>
    </row>
    <row r="2345" spans="5:6" x14ac:dyDescent="0.3">
      <c r="E2345" s="39" t="s">
        <v>645</v>
      </c>
      <c r="F2345" s="46" t="s">
        <v>72</v>
      </c>
    </row>
    <row r="2346" spans="5:6" x14ac:dyDescent="0.3">
      <c r="E2346" s="38" t="s">
        <v>287</v>
      </c>
      <c r="F2346" s="45" t="s">
        <v>72</v>
      </c>
    </row>
    <row r="2347" spans="5:6" x14ac:dyDescent="0.3">
      <c r="E2347" s="39" t="s">
        <v>1696</v>
      </c>
      <c r="F2347" s="46" t="s">
        <v>72</v>
      </c>
    </row>
    <row r="2348" spans="5:6" x14ac:dyDescent="0.3">
      <c r="E2348" s="38" t="s">
        <v>1697</v>
      </c>
      <c r="F2348" s="45" t="s">
        <v>72</v>
      </c>
    </row>
    <row r="2349" spans="5:6" x14ac:dyDescent="0.3">
      <c r="E2349" s="39" t="s">
        <v>293</v>
      </c>
      <c r="F2349" s="46" t="s">
        <v>72</v>
      </c>
    </row>
    <row r="2350" spans="5:6" x14ac:dyDescent="0.3">
      <c r="E2350" s="38" t="s">
        <v>1698</v>
      </c>
      <c r="F2350" s="45" t="s">
        <v>72</v>
      </c>
    </row>
    <row r="2351" spans="5:6" x14ac:dyDescent="0.3">
      <c r="E2351" s="39" t="s">
        <v>1699</v>
      </c>
      <c r="F2351" s="46" t="s">
        <v>72</v>
      </c>
    </row>
    <row r="2352" spans="5:6" x14ac:dyDescent="0.3">
      <c r="E2352" s="38" t="s">
        <v>654</v>
      </c>
      <c r="F2352" s="45" t="s">
        <v>72</v>
      </c>
    </row>
    <row r="2353" spans="5:6" x14ac:dyDescent="0.3">
      <c r="E2353" s="39" t="s">
        <v>1700</v>
      </c>
      <c r="F2353" s="46" t="s">
        <v>72</v>
      </c>
    </row>
    <row r="2354" spans="5:6" x14ac:dyDescent="0.3">
      <c r="E2354" s="38" t="s">
        <v>300</v>
      </c>
      <c r="F2354" s="45" t="s">
        <v>72</v>
      </c>
    </row>
    <row r="2355" spans="5:6" x14ac:dyDescent="0.3">
      <c r="E2355" s="39" t="s">
        <v>769</v>
      </c>
      <c r="F2355" s="46" t="s">
        <v>72</v>
      </c>
    </row>
    <row r="2356" spans="5:6" x14ac:dyDescent="0.3">
      <c r="E2356" s="38" t="s">
        <v>1701</v>
      </c>
      <c r="F2356" s="45" t="s">
        <v>72</v>
      </c>
    </row>
    <row r="2357" spans="5:6" x14ac:dyDescent="0.3">
      <c r="E2357" s="39" t="s">
        <v>1702</v>
      </c>
      <c r="F2357" s="46" t="s">
        <v>72</v>
      </c>
    </row>
    <row r="2358" spans="5:6" x14ac:dyDescent="0.3">
      <c r="E2358" s="38" t="s">
        <v>306</v>
      </c>
      <c r="F2358" s="45" t="s">
        <v>72</v>
      </c>
    </row>
    <row r="2359" spans="5:6" x14ac:dyDescent="0.3">
      <c r="E2359" s="39" t="s">
        <v>406</v>
      </c>
      <c r="F2359" s="46" t="s">
        <v>72</v>
      </c>
    </row>
    <row r="2360" spans="5:6" x14ac:dyDescent="0.3">
      <c r="E2360" s="38" t="s">
        <v>1703</v>
      </c>
      <c r="F2360" s="45" t="s">
        <v>72</v>
      </c>
    </row>
    <row r="2361" spans="5:6" x14ac:dyDescent="0.3">
      <c r="E2361" s="39" t="s">
        <v>1064</v>
      </c>
      <c r="F2361" s="46" t="s">
        <v>72</v>
      </c>
    </row>
    <row r="2362" spans="5:6" x14ac:dyDescent="0.3">
      <c r="E2362" s="38" t="s">
        <v>1704</v>
      </c>
      <c r="F2362" s="45" t="s">
        <v>71</v>
      </c>
    </row>
    <row r="2363" spans="5:6" x14ac:dyDescent="0.3">
      <c r="E2363" s="39" t="s">
        <v>1705</v>
      </c>
      <c r="F2363" s="46" t="s">
        <v>71</v>
      </c>
    </row>
    <row r="2364" spans="5:6" x14ac:dyDescent="0.3">
      <c r="E2364" s="38" t="s">
        <v>1706</v>
      </c>
      <c r="F2364" s="45" t="s">
        <v>71</v>
      </c>
    </row>
    <row r="2365" spans="5:6" x14ac:dyDescent="0.3">
      <c r="E2365" s="39" t="s">
        <v>1707</v>
      </c>
      <c r="F2365" s="46" t="s">
        <v>71</v>
      </c>
    </row>
    <row r="2366" spans="5:6" x14ac:dyDescent="0.3">
      <c r="E2366" s="38" t="s">
        <v>1708</v>
      </c>
      <c r="F2366" s="45" t="s">
        <v>71</v>
      </c>
    </row>
    <row r="2367" spans="5:6" x14ac:dyDescent="0.3">
      <c r="E2367" s="39" t="s">
        <v>731</v>
      </c>
      <c r="F2367" s="46" t="s">
        <v>71</v>
      </c>
    </row>
    <row r="2368" spans="5:6" x14ac:dyDescent="0.3">
      <c r="E2368" s="38" t="s">
        <v>1709</v>
      </c>
      <c r="F2368" s="45" t="s">
        <v>71</v>
      </c>
    </row>
    <row r="2369" spans="5:6" x14ac:dyDescent="0.3">
      <c r="E2369" s="39" t="s">
        <v>1334</v>
      </c>
      <c r="F2369" s="46" t="s">
        <v>71</v>
      </c>
    </row>
    <row r="2370" spans="5:6" x14ac:dyDescent="0.3">
      <c r="E2370" s="38" t="s">
        <v>414</v>
      </c>
      <c r="F2370" s="45" t="s">
        <v>71</v>
      </c>
    </row>
    <row r="2371" spans="5:6" x14ac:dyDescent="0.3">
      <c r="E2371" s="39" t="s">
        <v>948</v>
      </c>
      <c r="F2371" s="46" t="s">
        <v>71</v>
      </c>
    </row>
    <row r="2372" spans="5:6" x14ac:dyDescent="0.3">
      <c r="E2372" s="38" t="s">
        <v>1710</v>
      </c>
      <c r="F2372" s="45" t="s">
        <v>71</v>
      </c>
    </row>
    <row r="2373" spans="5:6" x14ac:dyDescent="0.3">
      <c r="E2373" s="39" t="s">
        <v>362</v>
      </c>
      <c r="F2373" s="46" t="s">
        <v>71</v>
      </c>
    </row>
    <row r="2374" spans="5:6" x14ac:dyDescent="0.3">
      <c r="E2374" s="38" t="s">
        <v>260</v>
      </c>
      <c r="F2374" s="45" t="s">
        <v>71</v>
      </c>
    </row>
    <row r="2375" spans="5:6" x14ac:dyDescent="0.3">
      <c r="E2375" s="39" t="s">
        <v>1711</v>
      </c>
      <c r="F2375" s="46" t="s">
        <v>71</v>
      </c>
    </row>
    <row r="2376" spans="5:6" x14ac:dyDescent="0.3">
      <c r="E2376" s="38" t="s">
        <v>1712</v>
      </c>
      <c r="F2376" s="45" t="s">
        <v>71</v>
      </c>
    </row>
    <row r="2377" spans="5:6" x14ac:dyDescent="0.3">
      <c r="E2377" s="39" t="s">
        <v>480</v>
      </c>
      <c r="F2377" s="46" t="s">
        <v>71</v>
      </c>
    </row>
    <row r="2378" spans="5:6" x14ac:dyDescent="0.3">
      <c r="E2378" s="38" t="s">
        <v>1713</v>
      </c>
      <c r="F2378" s="45" t="s">
        <v>71</v>
      </c>
    </row>
    <row r="2379" spans="5:6" x14ac:dyDescent="0.3">
      <c r="E2379" s="39" t="s">
        <v>1714</v>
      </c>
      <c r="F2379" s="46" t="s">
        <v>71</v>
      </c>
    </row>
    <row r="2380" spans="5:6" x14ac:dyDescent="0.3">
      <c r="E2380" s="38" t="s">
        <v>1340</v>
      </c>
      <c r="F2380" s="45" t="s">
        <v>71</v>
      </c>
    </row>
    <row r="2381" spans="5:6" x14ac:dyDescent="0.3">
      <c r="E2381" s="39" t="s">
        <v>1595</v>
      </c>
      <c r="F2381" s="46" t="s">
        <v>71</v>
      </c>
    </row>
    <row r="2382" spans="5:6" x14ac:dyDescent="0.3">
      <c r="E2382" s="38" t="s">
        <v>484</v>
      </c>
      <c r="F2382" s="45" t="s">
        <v>71</v>
      </c>
    </row>
    <row r="2383" spans="5:6" x14ac:dyDescent="0.3">
      <c r="E2383" s="39" t="s">
        <v>1715</v>
      </c>
      <c r="F2383" s="46" t="s">
        <v>71</v>
      </c>
    </row>
    <row r="2384" spans="5:6" x14ac:dyDescent="0.3">
      <c r="E2384" s="38" t="s">
        <v>1716</v>
      </c>
      <c r="F2384" s="45" t="s">
        <v>71</v>
      </c>
    </row>
    <row r="2385" spans="5:6" x14ac:dyDescent="0.3">
      <c r="E2385" s="39" t="s">
        <v>1717</v>
      </c>
      <c r="F2385" s="46" t="s">
        <v>71</v>
      </c>
    </row>
    <row r="2386" spans="5:6" x14ac:dyDescent="0.3">
      <c r="E2386" s="38" t="s">
        <v>375</v>
      </c>
      <c r="F2386" s="45" t="s">
        <v>71</v>
      </c>
    </row>
    <row r="2387" spans="5:6" x14ac:dyDescent="0.3">
      <c r="E2387" s="39" t="s">
        <v>1718</v>
      </c>
      <c r="F2387" s="46" t="s">
        <v>71</v>
      </c>
    </row>
    <row r="2388" spans="5:6" x14ac:dyDescent="0.3">
      <c r="E2388" s="38" t="s">
        <v>1719</v>
      </c>
      <c r="F2388" s="45" t="s">
        <v>71</v>
      </c>
    </row>
    <row r="2389" spans="5:6" x14ac:dyDescent="0.3">
      <c r="E2389" s="39" t="s">
        <v>1720</v>
      </c>
      <c r="F2389" s="46" t="s">
        <v>71</v>
      </c>
    </row>
    <row r="2390" spans="5:6" x14ac:dyDescent="0.3">
      <c r="E2390" s="38" t="s">
        <v>1721</v>
      </c>
      <c r="F2390" s="45" t="s">
        <v>71</v>
      </c>
    </row>
    <row r="2391" spans="5:6" x14ac:dyDescent="0.3">
      <c r="E2391" s="39" t="s">
        <v>1722</v>
      </c>
      <c r="F2391" s="46" t="s">
        <v>71</v>
      </c>
    </row>
    <row r="2392" spans="5:6" x14ac:dyDescent="0.3">
      <c r="E2392" s="38" t="s">
        <v>1408</v>
      </c>
      <c r="F2392" s="45" t="s">
        <v>71</v>
      </c>
    </row>
    <row r="2393" spans="5:6" x14ac:dyDescent="0.3">
      <c r="E2393" s="39" t="s">
        <v>1599</v>
      </c>
      <c r="F2393" s="46" t="s">
        <v>71</v>
      </c>
    </row>
    <row r="2394" spans="5:6" x14ac:dyDescent="0.3">
      <c r="E2394" s="38" t="s">
        <v>1723</v>
      </c>
      <c r="F2394" s="45" t="s">
        <v>71</v>
      </c>
    </row>
    <row r="2395" spans="5:6" x14ac:dyDescent="0.3">
      <c r="E2395" s="39" t="s">
        <v>1487</v>
      </c>
      <c r="F2395" s="46" t="s">
        <v>71</v>
      </c>
    </row>
    <row r="2396" spans="5:6" x14ac:dyDescent="0.3">
      <c r="E2396" s="38" t="s">
        <v>282</v>
      </c>
      <c r="F2396" s="45" t="s">
        <v>71</v>
      </c>
    </row>
    <row r="2397" spans="5:6" x14ac:dyDescent="0.3">
      <c r="E2397" s="39" t="s">
        <v>1724</v>
      </c>
      <c r="F2397" s="46" t="s">
        <v>71</v>
      </c>
    </row>
    <row r="2398" spans="5:6" x14ac:dyDescent="0.3">
      <c r="E2398" s="38" t="s">
        <v>643</v>
      </c>
      <c r="F2398" s="45" t="s">
        <v>71</v>
      </c>
    </row>
    <row r="2399" spans="5:6" x14ac:dyDescent="0.3">
      <c r="E2399" s="39" t="s">
        <v>1725</v>
      </c>
      <c r="F2399" s="46" t="s">
        <v>71</v>
      </c>
    </row>
    <row r="2400" spans="5:6" x14ac:dyDescent="0.3">
      <c r="E2400" s="38" t="s">
        <v>427</v>
      </c>
      <c r="F2400" s="45" t="s">
        <v>71</v>
      </c>
    </row>
    <row r="2401" spans="5:6" x14ac:dyDescent="0.3">
      <c r="E2401" s="39" t="s">
        <v>286</v>
      </c>
      <c r="F2401" s="46" t="s">
        <v>71</v>
      </c>
    </row>
    <row r="2402" spans="5:6" x14ac:dyDescent="0.3">
      <c r="E2402" s="38" t="s">
        <v>383</v>
      </c>
      <c r="F2402" s="45" t="s">
        <v>71</v>
      </c>
    </row>
    <row r="2403" spans="5:6" x14ac:dyDescent="0.3">
      <c r="E2403" s="39" t="s">
        <v>1726</v>
      </c>
      <c r="F2403" s="46" t="s">
        <v>71</v>
      </c>
    </row>
    <row r="2404" spans="5:6" x14ac:dyDescent="0.3">
      <c r="E2404" s="38" t="s">
        <v>1727</v>
      </c>
      <c r="F2404" s="45" t="s">
        <v>71</v>
      </c>
    </row>
    <row r="2405" spans="5:6" x14ac:dyDescent="0.3">
      <c r="E2405" s="39" t="s">
        <v>900</v>
      </c>
      <c r="F2405" s="46" t="s">
        <v>71</v>
      </c>
    </row>
    <row r="2406" spans="5:6" x14ac:dyDescent="0.3">
      <c r="E2406" s="38" t="s">
        <v>294</v>
      </c>
      <c r="F2406" s="45" t="s">
        <v>71</v>
      </c>
    </row>
    <row r="2407" spans="5:6" x14ac:dyDescent="0.3">
      <c r="E2407" s="39" t="s">
        <v>901</v>
      </c>
      <c r="F2407" s="46" t="s">
        <v>71</v>
      </c>
    </row>
    <row r="2408" spans="5:6" x14ac:dyDescent="0.3">
      <c r="E2408" s="38" t="s">
        <v>1728</v>
      </c>
      <c r="F2408" s="45" t="s">
        <v>71</v>
      </c>
    </row>
    <row r="2409" spans="5:6" x14ac:dyDescent="0.3">
      <c r="E2409" s="39" t="s">
        <v>1729</v>
      </c>
      <c r="F2409" s="46" t="s">
        <v>71</v>
      </c>
    </row>
    <row r="2410" spans="5:6" x14ac:dyDescent="0.3">
      <c r="E2410" s="38" t="s">
        <v>1730</v>
      </c>
      <c r="F2410" s="45" t="s">
        <v>71</v>
      </c>
    </row>
    <row r="2411" spans="5:6" x14ac:dyDescent="0.3">
      <c r="E2411" s="39" t="s">
        <v>1731</v>
      </c>
      <c r="F2411" s="46" t="s">
        <v>71</v>
      </c>
    </row>
    <row r="2412" spans="5:6" x14ac:dyDescent="0.3">
      <c r="E2412" s="38" t="s">
        <v>1192</v>
      </c>
      <c r="F2412" s="45" t="s">
        <v>71</v>
      </c>
    </row>
    <row r="2413" spans="5:6" x14ac:dyDescent="0.3">
      <c r="E2413" s="39" t="s">
        <v>1362</v>
      </c>
      <c r="F2413" s="46" t="s">
        <v>71</v>
      </c>
    </row>
    <row r="2414" spans="5:6" x14ac:dyDescent="0.3">
      <c r="E2414" s="38" t="s">
        <v>1669</v>
      </c>
      <c r="F2414" s="45" t="s">
        <v>71</v>
      </c>
    </row>
    <row r="2415" spans="5:6" x14ac:dyDescent="0.3">
      <c r="E2415" s="39" t="s">
        <v>1732</v>
      </c>
      <c r="F2415" s="46" t="s">
        <v>71</v>
      </c>
    </row>
    <row r="2416" spans="5:6" x14ac:dyDescent="0.3">
      <c r="E2416" s="38" t="s">
        <v>1733</v>
      </c>
      <c r="F2416" s="45" t="s">
        <v>71</v>
      </c>
    </row>
    <row r="2417" spans="5:6" x14ac:dyDescent="0.3">
      <c r="E2417" s="39" t="s">
        <v>1287</v>
      </c>
      <c r="F2417" s="46" t="s">
        <v>71</v>
      </c>
    </row>
    <row r="2418" spans="5:6" x14ac:dyDescent="0.3">
      <c r="E2418" s="38" t="s">
        <v>1734</v>
      </c>
      <c r="F2418" s="45" t="s">
        <v>71</v>
      </c>
    </row>
    <row r="2419" spans="5:6" x14ac:dyDescent="0.3">
      <c r="E2419" s="39" t="s">
        <v>1735</v>
      </c>
      <c r="F2419" s="46" t="s">
        <v>71</v>
      </c>
    </row>
    <row r="2420" spans="5:6" x14ac:dyDescent="0.3">
      <c r="E2420" s="38" t="s">
        <v>1736</v>
      </c>
      <c r="F2420" s="45" t="s">
        <v>71</v>
      </c>
    </row>
    <row r="2421" spans="5:6" x14ac:dyDescent="0.3">
      <c r="E2421" s="39" t="s">
        <v>987</v>
      </c>
      <c r="F2421" s="46" t="s">
        <v>71</v>
      </c>
    </row>
    <row r="2422" spans="5:6" x14ac:dyDescent="0.3">
      <c r="E2422" s="38" t="s">
        <v>1737</v>
      </c>
      <c r="F2422" s="45" t="s">
        <v>71</v>
      </c>
    </row>
    <row r="2423" spans="5:6" x14ac:dyDescent="0.3">
      <c r="E2423" s="39" t="s">
        <v>679</v>
      </c>
      <c r="F2423" s="46" t="s">
        <v>71</v>
      </c>
    </row>
    <row r="2424" spans="5:6" x14ac:dyDescent="0.3">
      <c r="E2424" s="38" t="s">
        <v>406</v>
      </c>
      <c r="F2424" s="45" t="s">
        <v>71</v>
      </c>
    </row>
    <row r="2425" spans="5:6" x14ac:dyDescent="0.3">
      <c r="E2425" s="39" t="s">
        <v>1738</v>
      </c>
      <c r="F2425" s="46" t="s">
        <v>71</v>
      </c>
    </row>
    <row r="2426" spans="5:6" x14ac:dyDescent="0.3">
      <c r="E2426" s="38" t="s">
        <v>1739</v>
      </c>
      <c r="F2426" s="45" t="s">
        <v>71</v>
      </c>
    </row>
    <row r="2427" spans="5:6" x14ac:dyDescent="0.3">
      <c r="E2427" s="39" t="s">
        <v>1740</v>
      </c>
      <c r="F2427" s="46" t="s">
        <v>71</v>
      </c>
    </row>
    <row r="2428" spans="5:6" x14ac:dyDescent="0.3">
      <c r="E2428" s="38" t="s">
        <v>869</v>
      </c>
      <c r="F2428" s="45" t="s">
        <v>70</v>
      </c>
    </row>
    <row r="2429" spans="5:6" x14ac:dyDescent="0.3">
      <c r="E2429" s="39" t="s">
        <v>1644</v>
      </c>
      <c r="F2429" s="46" t="s">
        <v>70</v>
      </c>
    </row>
    <row r="2430" spans="5:6" x14ac:dyDescent="0.3">
      <c r="E2430" s="38" t="s">
        <v>357</v>
      </c>
      <c r="F2430" s="45" t="s">
        <v>70</v>
      </c>
    </row>
    <row r="2431" spans="5:6" x14ac:dyDescent="0.3">
      <c r="E2431" s="39" t="s">
        <v>1741</v>
      </c>
      <c r="F2431" s="46" t="s">
        <v>70</v>
      </c>
    </row>
    <row r="2432" spans="5:6" x14ac:dyDescent="0.3">
      <c r="E2432" s="38" t="s">
        <v>251</v>
      </c>
      <c r="F2432" s="45" t="s">
        <v>70</v>
      </c>
    </row>
    <row r="2433" spans="5:6" x14ac:dyDescent="0.3">
      <c r="E2433" s="39" t="s">
        <v>359</v>
      </c>
      <c r="F2433" s="46" t="s">
        <v>70</v>
      </c>
    </row>
    <row r="2434" spans="5:6" x14ac:dyDescent="0.3">
      <c r="E2434" s="38" t="s">
        <v>948</v>
      </c>
      <c r="F2434" s="45" t="s">
        <v>70</v>
      </c>
    </row>
    <row r="2435" spans="5:6" x14ac:dyDescent="0.3">
      <c r="E2435" s="39" t="s">
        <v>1742</v>
      </c>
      <c r="F2435" s="46" t="s">
        <v>70</v>
      </c>
    </row>
    <row r="2436" spans="5:6" x14ac:dyDescent="0.3">
      <c r="E2436" s="38" t="s">
        <v>360</v>
      </c>
      <c r="F2436" s="45" t="s">
        <v>70</v>
      </c>
    </row>
    <row r="2437" spans="5:6" x14ac:dyDescent="0.3">
      <c r="E2437" s="39" t="s">
        <v>950</v>
      </c>
      <c r="F2437" s="46" t="s">
        <v>70</v>
      </c>
    </row>
    <row r="2438" spans="5:6" x14ac:dyDescent="0.3">
      <c r="E2438" s="38" t="s">
        <v>1743</v>
      </c>
      <c r="F2438" s="45" t="s">
        <v>70</v>
      </c>
    </row>
    <row r="2439" spans="5:6" x14ac:dyDescent="0.3">
      <c r="E2439" s="39" t="s">
        <v>1651</v>
      </c>
      <c r="F2439" s="46" t="s">
        <v>70</v>
      </c>
    </row>
    <row r="2440" spans="5:6" x14ac:dyDescent="0.3">
      <c r="E2440" s="38" t="s">
        <v>1219</v>
      </c>
      <c r="F2440" s="45" t="s">
        <v>70</v>
      </c>
    </row>
    <row r="2441" spans="5:6" x14ac:dyDescent="0.3">
      <c r="E2441" s="39" t="s">
        <v>260</v>
      </c>
      <c r="F2441" s="46" t="s">
        <v>70</v>
      </c>
    </row>
    <row r="2442" spans="5:6" x14ac:dyDescent="0.3">
      <c r="E2442" s="38" t="s">
        <v>1744</v>
      </c>
      <c r="F2442" s="45" t="s">
        <v>70</v>
      </c>
    </row>
    <row r="2443" spans="5:6" x14ac:dyDescent="0.3">
      <c r="E2443" s="39" t="s">
        <v>262</v>
      </c>
      <c r="F2443" s="46" t="s">
        <v>70</v>
      </c>
    </row>
    <row r="2444" spans="5:6" x14ac:dyDescent="0.3">
      <c r="E2444" s="38" t="s">
        <v>1745</v>
      </c>
      <c r="F2444" s="45" t="s">
        <v>70</v>
      </c>
    </row>
    <row r="2445" spans="5:6" x14ac:dyDescent="0.3">
      <c r="E2445" s="39" t="s">
        <v>738</v>
      </c>
      <c r="F2445" s="46" t="s">
        <v>70</v>
      </c>
    </row>
    <row r="2446" spans="5:6" x14ac:dyDescent="0.3">
      <c r="E2446" s="38" t="s">
        <v>1473</v>
      </c>
      <c r="F2446" s="45" t="s">
        <v>70</v>
      </c>
    </row>
    <row r="2447" spans="5:6" x14ac:dyDescent="0.3">
      <c r="E2447" s="39" t="s">
        <v>613</v>
      </c>
      <c r="F2447" s="46" t="s">
        <v>70</v>
      </c>
    </row>
    <row r="2448" spans="5:6" x14ac:dyDescent="0.3">
      <c r="E2448" s="38" t="s">
        <v>271</v>
      </c>
      <c r="F2448" s="45" t="s">
        <v>70</v>
      </c>
    </row>
    <row r="2449" spans="5:6" x14ac:dyDescent="0.3">
      <c r="E2449" s="39" t="s">
        <v>1746</v>
      </c>
      <c r="F2449" s="46" t="s">
        <v>70</v>
      </c>
    </row>
    <row r="2450" spans="5:6" x14ac:dyDescent="0.3">
      <c r="E2450" s="38" t="s">
        <v>1747</v>
      </c>
      <c r="F2450" s="45" t="s">
        <v>70</v>
      </c>
    </row>
    <row r="2451" spans="5:6" x14ac:dyDescent="0.3">
      <c r="E2451" s="39" t="s">
        <v>275</v>
      </c>
      <c r="F2451" s="46" t="s">
        <v>70</v>
      </c>
    </row>
    <row r="2452" spans="5:6" x14ac:dyDescent="0.3">
      <c r="E2452" s="38" t="s">
        <v>1748</v>
      </c>
      <c r="F2452" s="45" t="s">
        <v>70</v>
      </c>
    </row>
    <row r="2453" spans="5:6" x14ac:dyDescent="0.3">
      <c r="E2453" s="39" t="s">
        <v>276</v>
      </c>
      <c r="F2453" s="46" t="s">
        <v>70</v>
      </c>
    </row>
    <row r="2454" spans="5:6" x14ac:dyDescent="0.3">
      <c r="E2454" s="38" t="s">
        <v>792</v>
      </c>
      <c r="F2454" s="45" t="s">
        <v>70</v>
      </c>
    </row>
    <row r="2455" spans="5:6" x14ac:dyDescent="0.3">
      <c r="E2455" s="39" t="s">
        <v>1749</v>
      </c>
      <c r="F2455" s="46" t="s">
        <v>70</v>
      </c>
    </row>
    <row r="2456" spans="5:6" x14ac:dyDescent="0.3">
      <c r="E2456" s="38" t="s">
        <v>1750</v>
      </c>
      <c r="F2456" s="45" t="s">
        <v>70</v>
      </c>
    </row>
    <row r="2457" spans="5:6" x14ac:dyDescent="0.3">
      <c r="E2457" s="39" t="s">
        <v>278</v>
      </c>
      <c r="F2457" s="46" t="s">
        <v>70</v>
      </c>
    </row>
    <row r="2458" spans="5:6" x14ac:dyDescent="0.3">
      <c r="E2458" s="38" t="s">
        <v>745</v>
      </c>
      <c r="F2458" s="45" t="s">
        <v>70</v>
      </c>
    </row>
    <row r="2459" spans="5:6" x14ac:dyDescent="0.3">
      <c r="E2459" s="39" t="s">
        <v>1751</v>
      </c>
      <c r="F2459" s="46" t="s">
        <v>70</v>
      </c>
    </row>
    <row r="2460" spans="5:6" x14ac:dyDescent="0.3">
      <c r="E2460" s="38" t="s">
        <v>552</v>
      </c>
      <c r="F2460" s="45" t="s">
        <v>70</v>
      </c>
    </row>
    <row r="2461" spans="5:6" x14ac:dyDescent="0.3">
      <c r="E2461" s="39" t="s">
        <v>634</v>
      </c>
      <c r="F2461" s="46" t="s">
        <v>70</v>
      </c>
    </row>
    <row r="2462" spans="5:6" x14ac:dyDescent="0.3">
      <c r="E2462" s="38" t="s">
        <v>1752</v>
      </c>
      <c r="F2462" s="45" t="s">
        <v>70</v>
      </c>
    </row>
    <row r="2463" spans="5:6" x14ac:dyDescent="0.3">
      <c r="E2463" s="39" t="s">
        <v>746</v>
      </c>
      <c r="F2463" s="46" t="s">
        <v>70</v>
      </c>
    </row>
    <row r="2464" spans="5:6" x14ac:dyDescent="0.3">
      <c r="E2464" s="38" t="s">
        <v>1753</v>
      </c>
      <c r="F2464" s="45" t="s">
        <v>70</v>
      </c>
    </row>
    <row r="2465" spans="5:6" x14ac:dyDescent="0.3">
      <c r="E2465" s="39" t="s">
        <v>1484</v>
      </c>
      <c r="F2465" s="46" t="s">
        <v>70</v>
      </c>
    </row>
    <row r="2466" spans="5:6" x14ac:dyDescent="0.3">
      <c r="E2466" s="38" t="s">
        <v>747</v>
      </c>
      <c r="F2466" s="45" t="s">
        <v>70</v>
      </c>
    </row>
    <row r="2467" spans="5:6" x14ac:dyDescent="0.3">
      <c r="E2467" s="39" t="s">
        <v>280</v>
      </c>
      <c r="F2467" s="46" t="s">
        <v>70</v>
      </c>
    </row>
    <row r="2468" spans="5:6" x14ac:dyDescent="0.3">
      <c r="E2468" s="38" t="s">
        <v>962</v>
      </c>
      <c r="F2468" s="45" t="s">
        <v>70</v>
      </c>
    </row>
    <row r="2469" spans="5:6" x14ac:dyDescent="0.3">
      <c r="E2469" s="39" t="s">
        <v>281</v>
      </c>
      <c r="F2469" s="46" t="s">
        <v>70</v>
      </c>
    </row>
    <row r="2470" spans="5:6" x14ac:dyDescent="0.3">
      <c r="E2470" s="38" t="s">
        <v>1227</v>
      </c>
      <c r="F2470" s="45" t="s">
        <v>70</v>
      </c>
    </row>
    <row r="2471" spans="5:6" x14ac:dyDescent="0.3">
      <c r="E2471" s="39" t="s">
        <v>282</v>
      </c>
      <c r="F2471" s="46" t="s">
        <v>70</v>
      </c>
    </row>
    <row r="2472" spans="5:6" x14ac:dyDescent="0.3">
      <c r="E2472" s="38" t="s">
        <v>283</v>
      </c>
      <c r="F2472" s="45" t="s">
        <v>70</v>
      </c>
    </row>
    <row r="2473" spans="5:6" x14ac:dyDescent="0.3">
      <c r="E2473" s="39" t="s">
        <v>381</v>
      </c>
      <c r="F2473" s="46" t="s">
        <v>70</v>
      </c>
    </row>
    <row r="2474" spans="5:6" x14ac:dyDescent="0.3">
      <c r="E2474" s="38" t="s">
        <v>754</v>
      </c>
      <c r="F2474" s="45" t="s">
        <v>70</v>
      </c>
    </row>
    <row r="2475" spans="5:6" x14ac:dyDescent="0.3">
      <c r="E2475" s="39" t="s">
        <v>427</v>
      </c>
      <c r="F2475" s="46" t="s">
        <v>70</v>
      </c>
    </row>
    <row r="2476" spans="5:6" x14ac:dyDescent="0.3">
      <c r="E2476" s="38" t="s">
        <v>285</v>
      </c>
      <c r="F2476" s="45" t="s">
        <v>70</v>
      </c>
    </row>
    <row r="2477" spans="5:6" x14ac:dyDescent="0.3">
      <c r="E2477" s="39" t="s">
        <v>286</v>
      </c>
      <c r="F2477" s="46" t="s">
        <v>70</v>
      </c>
    </row>
    <row r="2478" spans="5:6" x14ac:dyDescent="0.3">
      <c r="E2478" s="38" t="s">
        <v>718</v>
      </c>
      <c r="F2478" s="45" t="s">
        <v>70</v>
      </c>
    </row>
    <row r="2479" spans="5:6" x14ac:dyDescent="0.3">
      <c r="E2479" s="39" t="s">
        <v>383</v>
      </c>
      <c r="F2479" s="46" t="s">
        <v>70</v>
      </c>
    </row>
    <row r="2480" spans="5:6" x14ac:dyDescent="0.3">
      <c r="E2480" s="38" t="s">
        <v>1754</v>
      </c>
      <c r="F2480" s="45" t="s">
        <v>70</v>
      </c>
    </row>
    <row r="2481" spans="5:6" x14ac:dyDescent="0.3">
      <c r="E2481" s="39" t="s">
        <v>1755</v>
      </c>
      <c r="F2481" s="46" t="s">
        <v>70</v>
      </c>
    </row>
    <row r="2482" spans="5:6" x14ac:dyDescent="0.3">
      <c r="E2482" s="38" t="s">
        <v>1756</v>
      </c>
      <c r="F2482" s="45" t="s">
        <v>70</v>
      </c>
    </row>
    <row r="2483" spans="5:6" x14ac:dyDescent="0.3">
      <c r="E2483" s="39" t="s">
        <v>290</v>
      </c>
      <c r="F2483" s="46" t="s">
        <v>70</v>
      </c>
    </row>
    <row r="2484" spans="5:6" x14ac:dyDescent="0.3">
      <c r="E2484" s="38" t="s">
        <v>291</v>
      </c>
      <c r="F2484" s="45" t="s">
        <v>70</v>
      </c>
    </row>
    <row r="2485" spans="5:6" x14ac:dyDescent="0.3">
      <c r="E2485" s="39" t="s">
        <v>293</v>
      </c>
      <c r="F2485" s="46" t="s">
        <v>70</v>
      </c>
    </row>
    <row r="2486" spans="5:6" x14ac:dyDescent="0.3">
      <c r="E2486" s="38" t="s">
        <v>294</v>
      </c>
      <c r="F2486" s="45" t="s">
        <v>70</v>
      </c>
    </row>
    <row r="2487" spans="5:6" x14ac:dyDescent="0.3">
      <c r="E2487" s="39" t="s">
        <v>1757</v>
      </c>
      <c r="F2487" s="46" t="s">
        <v>70</v>
      </c>
    </row>
    <row r="2488" spans="5:6" x14ac:dyDescent="0.3">
      <c r="E2488" s="38" t="s">
        <v>1569</v>
      </c>
      <c r="F2488" s="45" t="s">
        <v>70</v>
      </c>
    </row>
    <row r="2489" spans="5:6" x14ac:dyDescent="0.3">
      <c r="E2489" s="39" t="s">
        <v>296</v>
      </c>
      <c r="F2489" s="46" t="s">
        <v>70</v>
      </c>
    </row>
    <row r="2490" spans="5:6" x14ac:dyDescent="0.3">
      <c r="E2490" s="38" t="s">
        <v>297</v>
      </c>
      <c r="F2490" s="45" t="s">
        <v>70</v>
      </c>
    </row>
    <row r="2491" spans="5:6" x14ac:dyDescent="0.3">
      <c r="E2491" s="39" t="s">
        <v>1493</v>
      </c>
      <c r="F2491" s="46" t="s">
        <v>70</v>
      </c>
    </row>
    <row r="2492" spans="5:6" x14ac:dyDescent="0.3">
      <c r="E2492" s="38" t="s">
        <v>298</v>
      </c>
      <c r="F2492" s="45" t="s">
        <v>70</v>
      </c>
    </row>
    <row r="2493" spans="5:6" x14ac:dyDescent="0.3">
      <c r="E2493" s="39" t="s">
        <v>1758</v>
      </c>
      <c r="F2493" s="46" t="s">
        <v>70</v>
      </c>
    </row>
    <row r="2494" spans="5:6" x14ac:dyDescent="0.3">
      <c r="E2494" s="38" t="s">
        <v>1759</v>
      </c>
      <c r="F2494" s="45" t="s">
        <v>70</v>
      </c>
    </row>
    <row r="2495" spans="5:6" x14ac:dyDescent="0.3">
      <c r="E2495" s="39" t="s">
        <v>299</v>
      </c>
      <c r="F2495" s="46" t="s">
        <v>70</v>
      </c>
    </row>
    <row r="2496" spans="5:6" x14ac:dyDescent="0.3">
      <c r="E2496" s="38" t="s">
        <v>1760</v>
      </c>
      <c r="F2496" s="45" t="s">
        <v>70</v>
      </c>
    </row>
    <row r="2497" spans="5:6" x14ac:dyDescent="0.3">
      <c r="E2497" s="39" t="s">
        <v>394</v>
      </c>
      <c r="F2497" s="46" t="s">
        <v>70</v>
      </c>
    </row>
    <row r="2498" spans="5:6" x14ac:dyDescent="0.3">
      <c r="E2498" s="38" t="s">
        <v>572</v>
      </c>
      <c r="F2498" s="45" t="s">
        <v>70</v>
      </c>
    </row>
    <row r="2499" spans="5:6" x14ac:dyDescent="0.3">
      <c r="E2499" s="39" t="s">
        <v>1761</v>
      </c>
      <c r="F2499" s="46" t="s">
        <v>70</v>
      </c>
    </row>
    <row r="2500" spans="5:6" x14ac:dyDescent="0.3">
      <c r="E2500" s="38" t="s">
        <v>1762</v>
      </c>
      <c r="F2500" s="45" t="s">
        <v>70</v>
      </c>
    </row>
    <row r="2501" spans="5:6" x14ac:dyDescent="0.3">
      <c r="E2501" s="39" t="s">
        <v>983</v>
      </c>
      <c r="F2501" s="46" t="s">
        <v>70</v>
      </c>
    </row>
    <row r="2502" spans="5:6" x14ac:dyDescent="0.3">
      <c r="E2502" s="38" t="s">
        <v>1505</v>
      </c>
      <c r="F2502" s="45" t="s">
        <v>70</v>
      </c>
    </row>
    <row r="2503" spans="5:6" x14ac:dyDescent="0.3">
      <c r="E2503" s="39" t="s">
        <v>400</v>
      </c>
      <c r="F2503" s="46" t="s">
        <v>70</v>
      </c>
    </row>
    <row r="2504" spans="5:6" x14ac:dyDescent="0.3">
      <c r="E2504" s="38" t="s">
        <v>1763</v>
      </c>
      <c r="F2504" s="45" t="s">
        <v>70</v>
      </c>
    </row>
    <row r="2505" spans="5:6" x14ac:dyDescent="0.3">
      <c r="E2505" s="39" t="s">
        <v>403</v>
      </c>
      <c r="F2505" s="46" t="s">
        <v>70</v>
      </c>
    </row>
    <row r="2506" spans="5:6" x14ac:dyDescent="0.3">
      <c r="E2506" s="38" t="s">
        <v>305</v>
      </c>
      <c r="F2506" s="45" t="s">
        <v>70</v>
      </c>
    </row>
    <row r="2507" spans="5:6" x14ac:dyDescent="0.3">
      <c r="E2507" s="39" t="s">
        <v>924</v>
      </c>
      <c r="F2507" s="46" t="s">
        <v>70</v>
      </c>
    </row>
    <row r="2508" spans="5:6" x14ac:dyDescent="0.3">
      <c r="E2508" s="38" t="s">
        <v>667</v>
      </c>
      <c r="F2508" s="45" t="s">
        <v>70</v>
      </c>
    </row>
    <row r="2509" spans="5:6" x14ac:dyDescent="0.3">
      <c r="E2509" s="39" t="s">
        <v>814</v>
      </c>
      <c r="F2509" s="46" t="s">
        <v>70</v>
      </c>
    </row>
    <row r="2510" spans="5:6" x14ac:dyDescent="0.3">
      <c r="E2510" s="38" t="s">
        <v>928</v>
      </c>
      <c r="F2510" s="45" t="s">
        <v>70</v>
      </c>
    </row>
    <row r="2511" spans="5:6" x14ac:dyDescent="0.3">
      <c r="E2511" s="39" t="s">
        <v>817</v>
      </c>
      <c r="F2511" s="46" t="s">
        <v>70</v>
      </c>
    </row>
    <row r="2512" spans="5:6" x14ac:dyDescent="0.3">
      <c r="E2512" s="38" t="s">
        <v>1764</v>
      </c>
      <c r="F2512" s="45" t="s">
        <v>70</v>
      </c>
    </row>
    <row r="2513" spans="5:6" x14ac:dyDescent="0.3">
      <c r="E2513" s="39" t="s">
        <v>1765</v>
      </c>
      <c r="F2513" s="46" t="s">
        <v>70</v>
      </c>
    </row>
    <row r="2514" spans="5:6" x14ac:dyDescent="0.3">
      <c r="E2514" s="38" t="s">
        <v>406</v>
      </c>
      <c r="F2514" s="45" t="s">
        <v>70</v>
      </c>
    </row>
    <row r="2515" spans="5:6" x14ac:dyDescent="0.3">
      <c r="E2515" s="39" t="s">
        <v>407</v>
      </c>
      <c r="F2515" s="46" t="s">
        <v>70</v>
      </c>
    </row>
    <row r="2516" spans="5:6" x14ac:dyDescent="0.3">
      <c r="E2516" s="38" t="s">
        <v>683</v>
      </c>
      <c r="F2516" s="45" t="s">
        <v>70</v>
      </c>
    </row>
    <row r="2517" spans="5:6" x14ac:dyDescent="0.3">
      <c r="E2517" s="39" t="s">
        <v>311</v>
      </c>
      <c r="F2517" s="46" t="s">
        <v>70</v>
      </c>
    </row>
    <row r="2518" spans="5:6" x14ac:dyDescent="0.3">
      <c r="E2518" s="38" t="s">
        <v>684</v>
      </c>
      <c r="F2518" s="45" t="s">
        <v>70</v>
      </c>
    </row>
    <row r="2519" spans="5:6" x14ac:dyDescent="0.3">
      <c r="E2519" s="39" t="s">
        <v>1766</v>
      </c>
      <c r="F2519" s="46" t="s">
        <v>70</v>
      </c>
    </row>
    <row r="2520" spans="5:6" x14ac:dyDescent="0.3">
      <c r="E2520" s="38" t="s">
        <v>408</v>
      </c>
      <c r="F2520" s="45" t="s">
        <v>70</v>
      </c>
    </row>
    <row r="2521" spans="5:6" x14ac:dyDescent="0.3">
      <c r="E2521" s="39" t="s">
        <v>780</v>
      </c>
      <c r="F2521" s="46" t="s">
        <v>70</v>
      </c>
    </row>
    <row r="2522" spans="5:6" x14ac:dyDescent="0.3">
      <c r="E2522" s="38" t="s">
        <v>933</v>
      </c>
      <c r="F2522" s="45" t="s">
        <v>70</v>
      </c>
    </row>
    <row r="2523" spans="5:6" x14ac:dyDescent="0.3">
      <c r="E2523" s="39" t="s">
        <v>869</v>
      </c>
      <c r="F2523" s="46" t="s">
        <v>69</v>
      </c>
    </row>
    <row r="2524" spans="5:6" x14ac:dyDescent="0.3">
      <c r="E2524" s="38" t="s">
        <v>1767</v>
      </c>
      <c r="F2524" s="45" t="s">
        <v>69</v>
      </c>
    </row>
    <row r="2525" spans="5:6" x14ac:dyDescent="0.3">
      <c r="E2525" s="39" t="s">
        <v>1768</v>
      </c>
      <c r="F2525" s="46" t="s">
        <v>69</v>
      </c>
    </row>
    <row r="2526" spans="5:6" x14ac:dyDescent="0.3">
      <c r="E2526" s="38" t="s">
        <v>1769</v>
      </c>
      <c r="F2526" s="45" t="s">
        <v>69</v>
      </c>
    </row>
    <row r="2527" spans="5:6" x14ac:dyDescent="0.3">
      <c r="E2527" s="39" t="s">
        <v>1770</v>
      </c>
      <c r="F2527" s="46" t="s">
        <v>69</v>
      </c>
    </row>
    <row r="2528" spans="5:6" x14ac:dyDescent="0.3">
      <c r="E2528" s="38" t="s">
        <v>1643</v>
      </c>
      <c r="F2528" s="45" t="s">
        <v>69</v>
      </c>
    </row>
    <row r="2529" spans="5:6" x14ac:dyDescent="0.3">
      <c r="E2529" s="39" t="s">
        <v>1771</v>
      </c>
      <c r="F2529" s="46" t="s">
        <v>69</v>
      </c>
    </row>
    <row r="2530" spans="5:6" x14ac:dyDescent="0.3">
      <c r="E2530" s="38" t="s">
        <v>1772</v>
      </c>
      <c r="F2530" s="45" t="s">
        <v>69</v>
      </c>
    </row>
    <row r="2531" spans="5:6" x14ac:dyDescent="0.3">
      <c r="E2531" s="39" t="s">
        <v>1773</v>
      </c>
      <c r="F2531" s="46" t="s">
        <v>69</v>
      </c>
    </row>
    <row r="2532" spans="5:6" x14ac:dyDescent="0.3">
      <c r="E2532" s="38" t="s">
        <v>1774</v>
      </c>
      <c r="F2532" s="45" t="s">
        <v>69</v>
      </c>
    </row>
    <row r="2533" spans="5:6" x14ac:dyDescent="0.3">
      <c r="E2533" s="39" t="s">
        <v>1775</v>
      </c>
      <c r="F2533" s="46" t="s">
        <v>69</v>
      </c>
    </row>
    <row r="2534" spans="5:6" x14ac:dyDescent="0.3">
      <c r="E2534" s="38" t="s">
        <v>1776</v>
      </c>
      <c r="F2534" s="45" t="s">
        <v>69</v>
      </c>
    </row>
    <row r="2535" spans="5:6" x14ac:dyDescent="0.3">
      <c r="E2535" s="39" t="s">
        <v>1777</v>
      </c>
      <c r="F2535" s="46" t="s">
        <v>69</v>
      </c>
    </row>
    <row r="2536" spans="5:6" x14ac:dyDescent="0.3">
      <c r="E2536" s="38" t="s">
        <v>939</v>
      </c>
      <c r="F2536" s="45" t="s">
        <v>69</v>
      </c>
    </row>
    <row r="2537" spans="5:6" x14ac:dyDescent="0.3">
      <c r="E2537" s="39" t="s">
        <v>1778</v>
      </c>
      <c r="F2537" s="46" t="s">
        <v>69</v>
      </c>
    </row>
    <row r="2538" spans="5:6" x14ac:dyDescent="0.3">
      <c r="E2538" s="38" t="s">
        <v>1779</v>
      </c>
      <c r="F2538" s="45" t="s">
        <v>69</v>
      </c>
    </row>
    <row r="2539" spans="5:6" x14ac:dyDescent="0.3">
      <c r="E2539" s="39" t="s">
        <v>1780</v>
      </c>
      <c r="F2539" s="46" t="s">
        <v>69</v>
      </c>
    </row>
    <row r="2540" spans="5:6" x14ac:dyDescent="0.3">
      <c r="E2540" s="38" t="s">
        <v>1781</v>
      </c>
      <c r="F2540" s="45" t="s">
        <v>69</v>
      </c>
    </row>
    <row r="2541" spans="5:6" x14ac:dyDescent="0.3">
      <c r="E2541" s="39" t="s">
        <v>1782</v>
      </c>
      <c r="F2541" s="46" t="s">
        <v>69</v>
      </c>
    </row>
    <row r="2542" spans="5:6" x14ac:dyDescent="0.3">
      <c r="E2542" s="38" t="s">
        <v>1783</v>
      </c>
      <c r="F2542" s="45" t="s">
        <v>69</v>
      </c>
    </row>
    <row r="2543" spans="5:6" x14ac:dyDescent="0.3">
      <c r="E2543" s="39" t="s">
        <v>1784</v>
      </c>
      <c r="F2543" s="46" t="s">
        <v>69</v>
      </c>
    </row>
    <row r="2544" spans="5:6" x14ac:dyDescent="0.3">
      <c r="E2544" s="38" t="s">
        <v>1785</v>
      </c>
      <c r="F2544" s="45" t="s">
        <v>69</v>
      </c>
    </row>
    <row r="2545" spans="5:6" x14ac:dyDescent="0.3">
      <c r="E2545" s="39" t="s">
        <v>1786</v>
      </c>
      <c r="F2545" s="46" t="s">
        <v>69</v>
      </c>
    </row>
    <row r="2546" spans="5:6" x14ac:dyDescent="0.3">
      <c r="E2546" s="38" t="s">
        <v>593</v>
      </c>
      <c r="F2546" s="45" t="s">
        <v>69</v>
      </c>
    </row>
    <row r="2547" spans="5:6" x14ac:dyDescent="0.3">
      <c r="E2547" s="39" t="s">
        <v>731</v>
      </c>
      <c r="F2547" s="46" t="s">
        <v>69</v>
      </c>
    </row>
    <row r="2548" spans="5:6" x14ac:dyDescent="0.3">
      <c r="E2548" s="38" t="s">
        <v>1787</v>
      </c>
      <c r="F2548" s="45" t="s">
        <v>69</v>
      </c>
    </row>
    <row r="2549" spans="5:6" x14ac:dyDescent="0.3">
      <c r="E2549" s="39" t="s">
        <v>1788</v>
      </c>
      <c r="F2549" s="46" t="s">
        <v>69</v>
      </c>
    </row>
    <row r="2550" spans="5:6" x14ac:dyDescent="0.3">
      <c r="E2550" s="38" t="s">
        <v>946</v>
      </c>
      <c r="F2550" s="45" t="s">
        <v>69</v>
      </c>
    </row>
    <row r="2551" spans="5:6" x14ac:dyDescent="0.3">
      <c r="E2551" s="39" t="s">
        <v>254</v>
      </c>
      <c r="F2551" s="46" t="s">
        <v>69</v>
      </c>
    </row>
    <row r="2552" spans="5:6" x14ac:dyDescent="0.3">
      <c r="E2552" s="38" t="s">
        <v>1789</v>
      </c>
      <c r="F2552" s="45" t="s">
        <v>69</v>
      </c>
    </row>
    <row r="2553" spans="5:6" x14ac:dyDescent="0.3">
      <c r="E2553" s="39" t="s">
        <v>1649</v>
      </c>
      <c r="F2553" s="46" t="s">
        <v>69</v>
      </c>
    </row>
    <row r="2554" spans="5:6" x14ac:dyDescent="0.3">
      <c r="E2554" s="38" t="s">
        <v>1790</v>
      </c>
      <c r="F2554" s="45" t="s">
        <v>69</v>
      </c>
    </row>
    <row r="2555" spans="5:6" x14ac:dyDescent="0.3">
      <c r="E2555" s="39" t="s">
        <v>1791</v>
      </c>
      <c r="F2555" s="46" t="s">
        <v>69</v>
      </c>
    </row>
    <row r="2556" spans="5:6" x14ac:dyDescent="0.3">
      <c r="E2556" s="38" t="s">
        <v>733</v>
      </c>
      <c r="F2556" s="45" t="s">
        <v>69</v>
      </c>
    </row>
    <row r="2557" spans="5:6" x14ac:dyDescent="0.3">
      <c r="E2557" s="39" t="s">
        <v>1792</v>
      </c>
      <c r="F2557" s="46" t="s">
        <v>69</v>
      </c>
    </row>
    <row r="2558" spans="5:6" x14ac:dyDescent="0.3">
      <c r="E2558" s="38" t="s">
        <v>255</v>
      </c>
      <c r="F2558" s="45" t="s">
        <v>69</v>
      </c>
    </row>
    <row r="2559" spans="5:6" x14ac:dyDescent="0.3">
      <c r="E2559" s="39" t="s">
        <v>256</v>
      </c>
      <c r="F2559" s="46" t="s">
        <v>69</v>
      </c>
    </row>
    <row r="2560" spans="5:6" x14ac:dyDescent="0.3">
      <c r="E2560" s="38" t="s">
        <v>1793</v>
      </c>
      <c r="F2560" s="45" t="s">
        <v>69</v>
      </c>
    </row>
    <row r="2561" spans="5:6" x14ac:dyDescent="0.3">
      <c r="E2561" s="39" t="s">
        <v>260</v>
      </c>
      <c r="F2561" s="46" t="s">
        <v>69</v>
      </c>
    </row>
    <row r="2562" spans="5:6" x14ac:dyDescent="0.3">
      <c r="E2562" s="38" t="s">
        <v>1794</v>
      </c>
      <c r="F2562" s="45" t="s">
        <v>69</v>
      </c>
    </row>
    <row r="2563" spans="5:6" x14ac:dyDescent="0.3">
      <c r="E2563" s="39" t="s">
        <v>1795</v>
      </c>
      <c r="F2563" s="46" t="s">
        <v>69</v>
      </c>
    </row>
    <row r="2564" spans="5:6" x14ac:dyDescent="0.3">
      <c r="E2564" s="38" t="s">
        <v>1796</v>
      </c>
      <c r="F2564" s="45" t="s">
        <v>69</v>
      </c>
    </row>
    <row r="2565" spans="5:6" x14ac:dyDescent="0.3">
      <c r="E2565" s="39" t="s">
        <v>1797</v>
      </c>
      <c r="F2565" s="46" t="s">
        <v>69</v>
      </c>
    </row>
    <row r="2566" spans="5:6" x14ac:dyDescent="0.3">
      <c r="E2566" s="38" t="s">
        <v>1798</v>
      </c>
      <c r="F2566" s="45" t="s">
        <v>69</v>
      </c>
    </row>
    <row r="2567" spans="5:6" x14ac:dyDescent="0.3">
      <c r="E2567" s="39" t="s">
        <v>1799</v>
      </c>
      <c r="F2567" s="46" t="s">
        <v>69</v>
      </c>
    </row>
    <row r="2568" spans="5:6" x14ac:dyDescent="0.3">
      <c r="E2568" s="38" t="s">
        <v>1800</v>
      </c>
      <c r="F2568" s="45" t="s">
        <v>69</v>
      </c>
    </row>
    <row r="2569" spans="5:6" x14ac:dyDescent="0.3">
      <c r="E2569" s="39" t="s">
        <v>878</v>
      </c>
      <c r="F2569" s="46" t="s">
        <v>69</v>
      </c>
    </row>
    <row r="2570" spans="5:6" x14ac:dyDescent="0.3">
      <c r="E2570" s="38" t="s">
        <v>1801</v>
      </c>
      <c r="F2570" s="45" t="s">
        <v>69</v>
      </c>
    </row>
    <row r="2571" spans="5:6" x14ac:dyDescent="0.3">
      <c r="E2571" s="39" t="s">
        <v>1802</v>
      </c>
      <c r="F2571" s="46" t="s">
        <v>69</v>
      </c>
    </row>
    <row r="2572" spans="5:6" x14ac:dyDescent="0.3">
      <c r="E2572" s="38" t="s">
        <v>1803</v>
      </c>
      <c r="F2572" s="45" t="s">
        <v>69</v>
      </c>
    </row>
    <row r="2573" spans="5:6" x14ac:dyDescent="0.3">
      <c r="E2573" s="39" t="s">
        <v>1804</v>
      </c>
      <c r="F2573" s="46" t="s">
        <v>69</v>
      </c>
    </row>
    <row r="2574" spans="5:6" x14ac:dyDescent="0.3">
      <c r="E2574" s="38" t="s">
        <v>1805</v>
      </c>
      <c r="F2574" s="45" t="s">
        <v>69</v>
      </c>
    </row>
    <row r="2575" spans="5:6" x14ac:dyDescent="0.3">
      <c r="E2575" s="39" t="s">
        <v>1745</v>
      </c>
      <c r="F2575" s="46" t="s">
        <v>69</v>
      </c>
    </row>
    <row r="2576" spans="5:6" x14ac:dyDescent="0.3">
      <c r="E2576" s="38" t="s">
        <v>1806</v>
      </c>
      <c r="F2576" s="45" t="s">
        <v>69</v>
      </c>
    </row>
    <row r="2577" spans="5:6" x14ac:dyDescent="0.3">
      <c r="E2577" s="39" t="s">
        <v>1807</v>
      </c>
      <c r="F2577" s="46" t="s">
        <v>69</v>
      </c>
    </row>
    <row r="2578" spans="5:6" x14ac:dyDescent="0.3">
      <c r="E2578" s="38" t="s">
        <v>1808</v>
      </c>
      <c r="F2578" s="45" t="s">
        <v>69</v>
      </c>
    </row>
    <row r="2579" spans="5:6" x14ac:dyDescent="0.3">
      <c r="E2579" s="39" t="s">
        <v>270</v>
      </c>
      <c r="F2579" s="46" t="s">
        <v>69</v>
      </c>
    </row>
    <row r="2580" spans="5:6" x14ac:dyDescent="0.3">
      <c r="E2580" s="38" t="s">
        <v>612</v>
      </c>
      <c r="F2580" s="45" t="s">
        <v>69</v>
      </c>
    </row>
    <row r="2581" spans="5:6" x14ac:dyDescent="0.3">
      <c r="E2581" s="39" t="s">
        <v>1809</v>
      </c>
      <c r="F2581" s="46" t="s">
        <v>69</v>
      </c>
    </row>
    <row r="2582" spans="5:6" x14ac:dyDescent="0.3">
      <c r="E2582" s="38" t="s">
        <v>481</v>
      </c>
      <c r="F2582" s="45" t="s">
        <v>69</v>
      </c>
    </row>
    <row r="2583" spans="5:6" x14ac:dyDescent="0.3">
      <c r="E2583" s="39" t="s">
        <v>1810</v>
      </c>
      <c r="F2583" s="46" t="s">
        <v>69</v>
      </c>
    </row>
    <row r="2584" spans="5:6" x14ac:dyDescent="0.3">
      <c r="E2584" s="38" t="s">
        <v>1811</v>
      </c>
      <c r="F2584" s="45" t="s">
        <v>69</v>
      </c>
    </row>
    <row r="2585" spans="5:6" x14ac:dyDescent="0.3">
      <c r="E2585" s="39" t="s">
        <v>1812</v>
      </c>
      <c r="F2585" s="46" t="s">
        <v>69</v>
      </c>
    </row>
    <row r="2586" spans="5:6" x14ac:dyDescent="0.3">
      <c r="E2586" s="38" t="s">
        <v>1813</v>
      </c>
      <c r="F2586" s="45" t="s">
        <v>69</v>
      </c>
    </row>
    <row r="2587" spans="5:6" x14ac:dyDescent="0.3">
      <c r="E2587" s="39" t="s">
        <v>1814</v>
      </c>
      <c r="F2587" s="46" t="s">
        <v>69</v>
      </c>
    </row>
    <row r="2588" spans="5:6" x14ac:dyDescent="0.3">
      <c r="E2588" s="38" t="s">
        <v>546</v>
      </c>
      <c r="F2588" s="45" t="s">
        <v>69</v>
      </c>
    </row>
    <row r="2589" spans="5:6" x14ac:dyDescent="0.3">
      <c r="E2589" s="39" t="s">
        <v>1815</v>
      </c>
      <c r="F2589" s="46" t="s">
        <v>69</v>
      </c>
    </row>
    <row r="2590" spans="5:6" x14ac:dyDescent="0.3">
      <c r="E2590" s="38" t="s">
        <v>1816</v>
      </c>
      <c r="F2590" s="45" t="s">
        <v>69</v>
      </c>
    </row>
    <row r="2591" spans="5:6" x14ac:dyDescent="0.3">
      <c r="E2591" s="39" t="s">
        <v>742</v>
      </c>
      <c r="F2591" s="46" t="s">
        <v>69</v>
      </c>
    </row>
    <row r="2592" spans="5:6" x14ac:dyDescent="0.3">
      <c r="E2592" s="38" t="s">
        <v>882</v>
      </c>
      <c r="F2592" s="45" t="s">
        <v>69</v>
      </c>
    </row>
    <row r="2593" spans="5:6" x14ac:dyDescent="0.3">
      <c r="E2593" s="39" t="s">
        <v>487</v>
      </c>
      <c r="F2593" s="46" t="s">
        <v>69</v>
      </c>
    </row>
    <row r="2594" spans="5:6" x14ac:dyDescent="0.3">
      <c r="E2594" s="38" t="s">
        <v>1817</v>
      </c>
      <c r="F2594" s="45" t="s">
        <v>69</v>
      </c>
    </row>
    <row r="2595" spans="5:6" x14ac:dyDescent="0.3">
      <c r="E2595" s="39" t="s">
        <v>1818</v>
      </c>
      <c r="F2595" s="46" t="s">
        <v>69</v>
      </c>
    </row>
    <row r="2596" spans="5:6" x14ac:dyDescent="0.3">
      <c r="E2596" s="38" t="s">
        <v>623</v>
      </c>
      <c r="F2596" s="45" t="s">
        <v>69</v>
      </c>
    </row>
    <row r="2597" spans="5:6" x14ac:dyDescent="0.3">
      <c r="E2597" s="39" t="s">
        <v>275</v>
      </c>
      <c r="F2597" s="46" t="s">
        <v>69</v>
      </c>
    </row>
    <row r="2598" spans="5:6" x14ac:dyDescent="0.3">
      <c r="E2598" s="38" t="s">
        <v>1819</v>
      </c>
      <c r="F2598" s="45" t="s">
        <v>69</v>
      </c>
    </row>
    <row r="2599" spans="5:6" x14ac:dyDescent="0.3">
      <c r="E2599" s="39" t="s">
        <v>624</v>
      </c>
      <c r="F2599" s="46" t="s">
        <v>69</v>
      </c>
    </row>
    <row r="2600" spans="5:6" x14ac:dyDescent="0.3">
      <c r="E2600" s="38" t="s">
        <v>1820</v>
      </c>
      <c r="F2600" s="45" t="s">
        <v>69</v>
      </c>
    </row>
    <row r="2601" spans="5:6" x14ac:dyDescent="0.3">
      <c r="E2601" s="39" t="s">
        <v>1821</v>
      </c>
      <c r="F2601" s="46" t="s">
        <v>69</v>
      </c>
    </row>
    <row r="2602" spans="5:6" x14ac:dyDescent="0.3">
      <c r="E2602" s="38" t="s">
        <v>276</v>
      </c>
      <c r="F2602" s="45" t="s">
        <v>69</v>
      </c>
    </row>
    <row r="2603" spans="5:6" x14ac:dyDescent="0.3">
      <c r="E2603" s="39" t="s">
        <v>1822</v>
      </c>
      <c r="F2603" s="46" t="s">
        <v>69</v>
      </c>
    </row>
    <row r="2604" spans="5:6" x14ac:dyDescent="0.3">
      <c r="E2604" s="38" t="s">
        <v>1823</v>
      </c>
      <c r="F2604" s="45" t="s">
        <v>69</v>
      </c>
    </row>
    <row r="2605" spans="5:6" x14ac:dyDescent="0.3">
      <c r="E2605" s="39" t="s">
        <v>1824</v>
      </c>
      <c r="F2605" s="46" t="s">
        <v>69</v>
      </c>
    </row>
    <row r="2606" spans="5:6" x14ac:dyDescent="0.3">
      <c r="E2606" s="38" t="s">
        <v>1825</v>
      </c>
      <c r="F2606" s="45" t="s">
        <v>69</v>
      </c>
    </row>
    <row r="2607" spans="5:6" x14ac:dyDescent="0.3">
      <c r="E2607" s="39" t="s">
        <v>1826</v>
      </c>
      <c r="F2607" s="46" t="s">
        <v>69</v>
      </c>
    </row>
    <row r="2608" spans="5:6" x14ac:dyDescent="0.3">
      <c r="E2608" s="38" t="s">
        <v>1827</v>
      </c>
      <c r="F2608" s="45" t="s">
        <v>69</v>
      </c>
    </row>
    <row r="2609" spans="5:6" x14ac:dyDescent="0.3">
      <c r="E2609" s="39" t="s">
        <v>1828</v>
      </c>
      <c r="F2609" s="46" t="s">
        <v>69</v>
      </c>
    </row>
    <row r="2610" spans="5:6" x14ac:dyDescent="0.3">
      <c r="E2610" s="38" t="s">
        <v>1829</v>
      </c>
      <c r="F2610" s="45" t="s">
        <v>69</v>
      </c>
    </row>
    <row r="2611" spans="5:6" x14ac:dyDescent="0.3">
      <c r="E2611" s="39" t="s">
        <v>1830</v>
      </c>
      <c r="F2611" s="46" t="s">
        <v>69</v>
      </c>
    </row>
    <row r="2612" spans="5:6" x14ac:dyDescent="0.3">
      <c r="E2612" s="38" t="s">
        <v>887</v>
      </c>
      <c r="F2612" s="45" t="s">
        <v>69</v>
      </c>
    </row>
    <row r="2613" spans="5:6" x14ac:dyDescent="0.3">
      <c r="E2613" s="39" t="s">
        <v>958</v>
      </c>
      <c r="F2613" s="46" t="s">
        <v>69</v>
      </c>
    </row>
    <row r="2614" spans="5:6" x14ac:dyDescent="0.3">
      <c r="E2614" s="38" t="s">
        <v>1831</v>
      </c>
      <c r="F2614" s="45" t="s">
        <v>69</v>
      </c>
    </row>
    <row r="2615" spans="5:6" x14ac:dyDescent="0.3">
      <c r="E2615" s="39" t="s">
        <v>1832</v>
      </c>
      <c r="F2615" s="46" t="s">
        <v>69</v>
      </c>
    </row>
    <row r="2616" spans="5:6" x14ac:dyDescent="0.3">
      <c r="E2616" s="38" t="s">
        <v>1407</v>
      </c>
      <c r="F2616" s="45" t="s">
        <v>69</v>
      </c>
    </row>
    <row r="2617" spans="5:6" x14ac:dyDescent="0.3">
      <c r="E2617" s="39" t="s">
        <v>279</v>
      </c>
      <c r="F2617" s="46" t="s">
        <v>69</v>
      </c>
    </row>
    <row r="2618" spans="5:6" x14ac:dyDescent="0.3">
      <c r="E2618" s="38" t="s">
        <v>633</v>
      </c>
      <c r="F2618" s="45" t="s">
        <v>69</v>
      </c>
    </row>
    <row r="2619" spans="5:6" x14ac:dyDescent="0.3">
      <c r="E2619" s="39" t="s">
        <v>552</v>
      </c>
      <c r="F2619" s="46" t="s">
        <v>69</v>
      </c>
    </row>
    <row r="2620" spans="5:6" x14ac:dyDescent="0.3">
      <c r="E2620" s="38" t="s">
        <v>1833</v>
      </c>
      <c r="F2620" s="45" t="s">
        <v>69</v>
      </c>
    </row>
    <row r="2621" spans="5:6" x14ac:dyDescent="0.3">
      <c r="E2621" s="39" t="s">
        <v>1752</v>
      </c>
      <c r="F2621" s="46" t="s">
        <v>69</v>
      </c>
    </row>
    <row r="2622" spans="5:6" x14ac:dyDescent="0.3">
      <c r="E2622" s="38" t="s">
        <v>746</v>
      </c>
      <c r="F2622" s="45" t="s">
        <v>69</v>
      </c>
    </row>
    <row r="2623" spans="5:6" x14ac:dyDescent="0.3">
      <c r="E2623" s="39" t="s">
        <v>636</v>
      </c>
      <c r="F2623" s="46" t="s">
        <v>69</v>
      </c>
    </row>
    <row r="2624" spans="5:6" x14ac:dyDescent="0.3">
      <c r="E2624" s="38" t="s">
        <v>793</v>
      </c>
      <c r="F2624" s="45" t="s">
        <v>69</v>
      </c>
    </row>
    <row r="2625" spans="5:6" x14ac:dyDescent="0.3">
      <c r="E2625" s="39" t="s">
        <v>1834</v>
      </c>
      <c r="F2625" s="46" t="s">
        <v>69</v>
      </c>
    </row>
    <row r="2626" spans="5:6" x14ac:dyDescent="0.3">
      <c r="E2626" s="38" t="s">
        <v>892</v>
      </c>
      <c r="F2626" s="45" t="s">
        <v>69</v>
      </c>
    </row>
    <row r="2627" spans="5:6" x14ac:dyDescent="0.3">
      <c r="E2627" s="39" t="s">
        <v>1835</v>
      </c>
      <c r="F2627" s="46" t="s">
        <v>69</v>
      </c>
    </row>
    <row r="2628" spans="5:6" x14ac:dyDescent="0.3">
      <c r="E2628" s="38" t="s">
        <v>1836</v>
      </c>
      <c r="F2628" s="45" t="s">
        <v>69</v>
      </c>
    </row>
    <row r="2629" spans="5:6" x14ac:dyDescent="0.3">
      <c r="E2629" s="39" t="s">
        <v>747</v>
      </c>
      <c r="F2629" s="46" t="s">
        <v>69</v>
      </c>
    </row>
    <row r="2630" spans="5:6" x14ac:dyDescent="0.3">
      <c r="E2630" s="38" t="s">
        <v>1409</v>
      </c>
      <c r="F2630" s="45" t="s">
        <v>69</v>
      </c>
    </row>
    <row r="2631" spans="5:6" x14ac:dyDescent="0.3">
      <c r="E2631" s="39" t="s">
        <v>1307</v>
      </c>
      <c r="F2631" s="46" t="s">
        <v>69</v>
      </c>
    </row>
    <row r="2632" spans="5:6" x14ac:dyDescent="0.3">
      <c r="E2632" s="38" t="s">
        <v>1837</v>
      </c>
      <c r="F2632" s="45" t="s">
        <v>69</v>
      </c>
    </row>
    <row r="2633" spans="5:6" x14ac:dyDescent="0.3">
      <c r="E2633" s="39" t="s">
        <v>1838</v>
      </c>
      <c r="F2633" s="46" t="s">
        <v>69</v>
      </c>
    </row>
    <row r="2634" spans="5:6" x14ac:dyDescent="0.3">
      <c r="E2634" s="38" t="s">
        <v>963</v>
      </c>
      <c r="F2634" s="45" t="s">
        <v>69</v>
      </c>
    </row>
    <row r="2635" spans="5:6" x14ac:dyDescent="0.3">
      <c r="E2635" s="39" t="s">
        <v>281</v>
      </c>
      <c r="F2635" s="46" t="s">
        <v>69</v>
      </c>
    </row>
    <row r="2636" spans="5:6" x14ac:dyDescent="0.3">
      <c r="E2636" s="38" t="s">
        <v>378</v>
      </c>
      <c r="F2636" s="45" t="s">
        <v>69</v>
      </c>
    </row>
    <row r="2637" spans="5:6" x14ac:dyDescent="0.3">
      <c r="E2637" s="39" t="s">
        <v>1839</v>
      </c>
      <c r="F2637" s="46" t="s">
        <v>69</v>
      </c>
    </row>
    <row r="2638" spans="5:6" x14ac:dyDescent="0.3">
      <c r="E2638" s="38" t="s">
        <v>1840</v>
      </c>
      <c r="F2638" s="45" t="s">
        <v>69</v>
      </c>
    </row>
    <row r="2639" spans="5:6" x14ac:dyDescent="0.3">
      <c r="E2639" s="39" t="s">
        <v>1723</v>
      </c>
      <c r="F2639" s="46" t="s">
        <v>69</v>
      </c>
    </row>
    <row r="2640" spans="5:6" x14ac:dyDescent="0.3">
      <c r="E2640" s="38" t="s">
        <v>1841</v>
      </c>
      <c r="F2640" s="45" t="s">
        <v>69</v>
      </c>
    </row>
    <row r="2641" spans="5:6" x14ac:dyDescent="0.3">
      <c r="E2641" s="39" t="s">
        <v>1842</v>
      </c>
      <c r="F2641" s="46" t="s">
        <v>69</v>
      </c>
    </row>
    <row r="2642" spans="5:6" x14ac:dyDescent="0.3">
      <c r="E2642" s="38" t="s">
        <v>282</v>
      </c>
      <c r="F2642" s="45" t="s">
        <v>69</v>
      </c>
    </row>
    <row r="2643" spans="5:6" x14ac:dyDescent="0.3">
      <c r="E2643" s="39" t="s">
        <v>640</v>
      </c>
      <c r="F2643" s="46" t="s">
        <v>69</v>
      </c>
    </row>
    <row r="2644" spans="5:6" x14ac:dyDescent="0.3">
      <c r="E2644" s="38" t="s">
        <v>641</v>
      </c>
      <c r="F2644" s="45" t="s">
        <v>69</v>
      </c>
    </row>
    <row r="2645" spans="5:6" x14ac:dyDescent="0.3">
      <c r="E2645" s="39" t="s">
        <v>283</v>
      </c>
      <c r="F2645" s="46" t="s">
        <v>69</v>
      </c>
    </row>
    <row r="2646" spans="5:6" x14ac:dyDescent="0.3">
      <c r="E2646" s="38" t="s">
        <v>1843</v>
      </c>
      <c r="F2646" s="45" t="s">
        <v>69</v>
      </c>
    </row>
    <row r="2647" spans="5:6" x14ac:dyDescent="0.3">
      <c r="E2647" s="39" t="s">
        <v>1844</v>
      </c>
      <c r="F2647" s="46" t="s">
        <v>69</v>
      </c>
    </row>
    <row r="2648" spans="5:6" x14ac:dyDescent="0.3">
      <c r="E2648" s="38" t="s">
        <v>381</v>
      </c>
      <c r="F2648" s="45" t="s">
        <v>69</v>
      </c>
    </row>
    <row r="2649" spans="5:6" x14ac:dyDescent="0.3">
      <c r="E2649" s="39" t="s">
        <v>643</v>
      </c>
      <c r="F2649" s="46" t="s">
        <v>69</v>
      </c>
    </row>
    <row r="2650" spans="5:6" x14ac:dyDescent="0.3">
      <c r="E2650" s="38" t="s">
        <v>1845</v>
      </c>
      <c r="F2650" s="45" t="s">
        <v>69</v>
      </c>
    </row>
    <row r="2651" spans="5:6" x14ac:dyDescent="0.3">
      <c r="E2651" s="39" t="s">
        <v>1846</v>
      </c>
      <c r="F2651" s="46" t="s">
        <v>69</v>
      </c>
    </row>
    <row r="2652" spans="5:6" x14ac:dyDescent="0.3">
      <c r="E2652" s="38" t="s">
        <v>753</v>
      </c>
      <c r="F2652" s="45" t="s">
        <v>69</v>
      </c>
    </row>
    <row r="2653" spans="5:6" x14ac:dyDescent="0.3">
      <c r="E2653" s="39" t="s">
        <v>1847</v>
      </c>
      <c r="F2653" s="46" t="s">
        <v>69</v>
      </c>
    </row>
    <row r="2654" spans="5:6" x14ac:dyDescent="0.3">
      <c r="E2654" s="38" t="s">
        <v>529</v>
      </c>
      <c r="F2654" s="45" t="s">
        <v>69</v>
      </c>
    </row>
    <row r="2655" spans="5:6" x14ac:dyDescent="0.3">
      <c r="E2655" s="39" t="s">
        <v>1848</v>
      </c>
      <c r="F2655" s="46" t="s">
        <v>69</v>
      </c>
    </row>
    <row r="2656" spans="5:6" x14ac:dyDescent="0.3">
      <c r="E2656" s="38" t="s">
        <v>1849</v>
      </c>
      <c r="F2656" s="45" t="s">
        <v>69</v>
      </c>
    </row>
    <row r="2657" spans="5:6" x14ac:dyDescent="0.3">
      <c r="E2657" s="39" t="s">
        <v>1850</v>
      </c>
      <c r="F2657" s="46" t="s">
        <v>69</v>
      </c>
    </row>
    <row r="2658" spans="5:6" x14ac:dyDescent="0.3">
      <c r="E2658" s="38" t="s">
        <v>1851</v>
      </c>
      <c r="F2658" s="45" t="s">
        <v>69</v>
      </c>
    </row>
    <row r="2659" spans="5:6" x14ac:dyDescent="0.3">
      <c r="E2659" s="39" t="s">
        <v>1852</v>
      </c>
      <c r="F2659" s="46" t="s">
        <v>69</v>
      </c>
    </row>
    <row r="2660" spans="5:6" x14ac:dyDescent="0.3">
      <c r="E2660" s="38" t="s">
        <v>754</v>
      </c>
      <c r="F2660" s="45" t="s">
        <v>69</v>
      </c>
    </row>
    <row r="2661" spans="5:6" x14ac:dyDescent="0.3">
      <c r="E2661" s="39" t="s">
        <v>284</v>
      </c>
      <c r="F2661" s="46" t="s">
        <v>69</v>
      </c>
    </row>
    <row r="2662" spans="5:6" x14ac:dyDescent="0.3">
      <c r="E2662" s="38" t="s">
        <v>1853</v>
      </c>
      <c r="F2662" s="45" t="s">
        <v>69</v>
      </c>
    </row>
    <row r="2663" spans="5:6" x14ac:dyDescent="0.3">
      <c r="E2663" s="39" t="s">
        <v>1854</v>
      </c>
      <c r="F2663" s="46" t="s">
        <v>69</v>
      </c>
    </row>
    <row r="2664" spans="5:6" x14ac:dyDescent="0.3">
      <c r="E2664" s="38" t="s">
        <v>755</v>
      </c>
      <c r="F2664" s="45" t="s">
        <v>69</v>
      </c>
    </row>
    <row r="2665" spans="5:6" x14ac:dyDescent="0.3">
      <c r="E2665" s="39" t="s">
        <v>1855</v>
      </c>
      <c r="F2665" s="46" t="s">
        <v>69</v>
      </c>
    </row>
    <row r="2666" spans="5:6" x14ac:dyDescent="0.3">
      <c r="E2666" s="38" t="s">
        <v>287</v>
      </c>
      <c r="F2666" s="45" t="s">
        <v>69</v>
      </c>
    </row>
    <row r="2667" spans="5:6" x14ac:dyDescent="0.3">
      <c r="E2667" s="39" t="s">
        <v>560</v>
      </c>
      <c r="F2667" s="46" t="s">
        <v>69</v>
      </c>
    </row>
    <row r="2668" spans="5:6" x14ac:dyDescent="0.3">
      <c r="E2668" s="38" t="s">
        <v>562</v>
      </c>
      <c r="F2668" s="45" t="s">
        <v>69</v>
      </c>
    </row>
    <row r="2669" spans="5:6" x14ac:dyDescent="0.3">
      <c r="E2669" s="39" t="s">
        <v>288</v>
      </c>
      <c r="F2669" s="46" t="s">
        <v>69</v>
      </c>
    </row>
    <row r="2670" spans="5:6" x14ac:dyDescent="0.3">
      <c r="E2670" s="38" t="s">
        <v>1856</v>
      </c>
      <c r="F2670" s="45" t="s">
        <v>69</v>
      </c>
    </row>
    <row r="2671" spans="5:6" x14ac:dyDescent="0.3">
      <c r="E2671" s="39" t="s">
        <v>1857</v>
      </c>
      <c r="F2671" s="46" t="s">
        <v>69</v>
      </c>
    </row>
    <row r="2672" spans="5:6" x14ac:dyDescent="0.3">
      <c r="E2672" s="38" t="s">
        <v>1858</v>
      </c>
      <c r="F2672" s="45" t="s">
        <v>69</v>
      </c>
    </row>
    <row r="2673" spans="5:6" x14ac:dyDescent="0.3">
      <c r="E2673" s="39" t="s">
        <v>1859</v>
      </c>
      <c r="F2673" s="46" t="s">
        <v>69</v>
      </c>
    </row>
    <row r="2674" spans="5:6" x14ac:dyDescent="0.3">
      <c r="E2674" s="38" t="s">
        <v>1860</v>
      </c>
      <c r="F2674" s="45" t="s">
        <v>69</v>
      </c>
    </row>
    <row r="2675" spans="5:6" x14ac:dyDescent="0.3">
      <c r="E2675" s="39" t="s">
        <v>1861</v>
      </c>
      <c r="F2675" s="46" t="s">
        <v>69</v>
      </c>
    </row>
    <row r="2676" spans="5:6" x14ac:dyDescent="0.3">
      <c r="E2676" s="38" t="s">
        <v>1862</v>
      </c>
      <c r="F2676" s="45" t="s">
        <v>69</v>
      </c>
    </row>
    <row r="2677" spans="5:6" x14ac:dyDescent="0.3">
      <c r="E2677" s="39" t="s">
        <v>1863</v>
      </c>
      <c r="F2677" s="46" t="s">
        <v>69</v>
      </c>
    </row>
    <row r="2678" spans="5:6" x14ac:dyDescent="0.3">
      <c r="E2678" s="38" t="s">
        <v>1864</v>
      </c>
      <c r="F2678" s="45" t="s">
        <v>69</v>
      </c>
    </row>
    <row r="2679" spans="5:6" x14ac:dyDescent="0.3">
      <c r="E2679" s="39" t="s">
        <v>291</v>
      </c>
      <c r="F2679" s="46" t="s">
        <v>69</v>
      </c>
    </row>
    <row r="2680" spans="5:6" x14ac:dyDescent="0.3">
      <c r="E2680" s="38" t="s">
        <v>293</v>
      </c>
      <c r="F2680" s="45" t="s">
        <v>69</v>
      </c>
    </row>
    <row r="2681" spans="5:6" x14ac:dyDescent="0.3">
      <c r="E2681" s="39" t="s">
        <v>564</v>
      </c>
      <c r="F2681" s="46" t="s">
        <v>69</v>
      </c>
    </row>
    <row r="2682" spans="5:6" x14ac:dyDescent="0.3">
      <c r="E2682" s="38" t="s">
        <v>761</v>
      </c>
      <c r="F2682" s="45" t="s">
        <v>69</v>
      </c>
    </row>
    <row r="2683" spans="5:6" x14ac:dyDescent="0.3">
      <c r="E2683" s="39" t="s">
        <v>1865</v>
      </c>
      <c r="F2683" s="46" t="s">
        <v>69</v>
      </c>
    </row>
    <row r="2684" spans="5:6" x14ac:dyDescent="0.3">
      <c r="E2684" s="38" t="s">
        <v>1866</v>
      </c>
      <c r="F2684" s="45" t="s">
        <v>69</v>
      </c>
    </row>
    <row r="2685" spans="5:6" x14ac:dyDescent="0.3">
      <c r="E2685" s="39" t="s">
        <v>1568</v>
      </c>
      <c r="F2685" s="46" t="s">
        <v>69</v>
      </c>
    </row>
    <row r="2686" spans="5:6" x14ac:dyDescent="0.3">
      <c r="E2686" s="38" t="s">
        <v>763</v>
      </c>
      <c r="F2686" s="45" t="s">
        <v>69</v>
      </c>
    </row>
    <row r="2687" spans="5:6" x14ac:dyDescent="0.3">
      <c r="E2687" s="39" t="s">
        <v>1133</v>
      </c>
      <c r="F2687" s="46" t="s">
        <v>69</v>
      </c>
    </row>
    <row r="2688" spans="5:6" x14ac:dyDescent="0.3">
      <c r="E2688" s="38" t="s">
        <v>1867</v>
      </c>
      <c r="F2688" s="45" t="s">
        <v>69</v>
      </c>
    </row>
    <row r="2689" spans="5:6" x14ac:dyDescent="0.3">
      <c r="E2689" s="39" t="s">
        <v>850</v>
      </c>
      <c r="F2689" s="46" t="s">
        <v>69</v>
      </c>
    </row>
    <row r="2690" spans="5:6" x14ac:dyDescent="0.3">
      <c r="E2690" s="38" t="s">
        <v>651</v>
      </c>
      <c r="F2690" s="45" t="s">
        <v>69</v>
      </c>
    </row>
    <row r="2691" spans="5:6" x14ac:dyDescent="0.3">
      <c r="E2691" s="39" t="s">
        <v>1868</v>
      </c>
      <c r="F2691" s="46" t="s">
        <v>69</v>
      </c>
    </row>
    <row r="2692" spans="5:6" x14ac:dyDescent="0.3">
      <c r="E2692" s="38" t="s">
        <v>297</v>
      </c>
      <c r="F2692" s="45" t="s">
        <v>69</v>
      </c>
    </row>
    <row r="2693" spans="5:6" x14ac:dyDescent="0.3">
      <c r="E2693" s="39" t="s">
        <v>1493</v>
      </c>
      <c r="F2693" s="46" t="s">
        <v>69</v>
      </c>
    </row>
    <row r="2694" spans="5:6" x14ac:dyDescent="0.3">
      <c r="E2694" s="38" t="s">
        <v>902</v>
      </c>
      <c r="F2694" s="45" t="s">
        <v>69</v>
      </c>
    </row>
    <row r="2695" spans="5:6" x14ac:dyDescent="0.3">
      <c r="E2695" s="39" t="s">
        <v>1869</v>
      </c>
      <c r="F2695" s="46" t="s">
        <v>69</v>
      </c>
    </row>
    <row r="2696" spans="5:6" x14ac:dyDescent="0.3">
      <c r="E2696" s="38" t="s">
        <v>1870</v>
      </c>
      <c r="F2696" s="45" t="s">
        <v>69</v>
      </c>
    </row>
    <row r="2697" spans="5:6" x14ac:dyDescent="0.3">
      <c r="E2697" s="39" t="s">
        <v>1871</v>
      </c>
      <c r="F2697" s="46" t="s">
        <v>69</v>
      </c>
    </row>
    <row r="2698" spans="5:6" x14ac:dyDescent="0.3">
      <c r="E2698" s="38" t="s">
        <v>390</v>
      </c>
      <c r="F2698" s="45" t="s">
        <v>69</v>
      </c>
    </row>
    <row r="2699" spans="5:6" x14ac:dyDescent="0.3">
      <c r="E2699" s="39" t="s">
        <v>1872</v>
      </c>
      <c r="F2699" s="46" t="s">
        <v>69</v>
      </c>
    </row>
    <row r="2700" spans="5:6" x14ac:dyDescent="0.3">
      <c r="E2700" s="38" t="s">
        <v>1873</v>
      </c>
      <c r="F2700" s="45" t="s">
        <v>69</v>
      </c>
    </row>
    <row r="2701" spans="5:6" x14ac:dyDescent="0.3">
      <c r="E2701" s="39" t="s">
        <v>1874</v>
      </c>
      <c r="F2701" s="46" t="s">
        <v>69</v>
      </c>
    </row>
    <row r="2702" spans="5:6" x14ac:dyDescent="0.3">
      <c r="E2702" s="38" t="s">
        <v>979</v>
      </c>
      <c r="F2702" s="45" t="s">
        <v>69</v>
      </c>
    </row>
    <row r="2703" spans="5:6" x14ac:dyDescent="0.3">
      <c r="E2703" s="39" t="s">
        <v>439</v>
      </c>
      <c r="F2703" s="46" t="s">
        <v>69</v>
      </c>
    </row>
    <row r="2704" spans="5:6" x14ac:dyDescent="0.3">
      <c r="E2704" s="38" t="s">
        <v>1875</v>
      </c>
      <c r="F2704" s="45" t="s">
        <v>69</v>
      </c>
    </row>
    <row r="2705" spans="5:6" x14ac:dyDescent="0.3">
      <c r="E2705" s="39" t="s">
        <v>1237</v>
      </c>
      <c r="F2705" s="46" t="s">
        <v>69</v>
      </c>
    </row>
    <row r="2706" spans="5:6" x14ac:dyDescent="0.3">
      <c r="E2706" s="38" t="s">
        <v>1876</v>
      </c>
      <c r="F2706" s="45" t="s">
        <v>69</v>
      </c>
    </row>
    <row r="2707" spans="5:6" x14ac:dyDescent="0.3">
      <c r="E2707" s="39" t="s">
        <v>1877</v>
      </c>
      <c r="F2707" s="46" t="s">
        <v>69</v>
      </c>
    </row>
    <row r="2708" spans="5:6" x14ac:dyDescent="0.3">
      <c r="E2708" s="38" t="s">
        <v>1878</v>
      </c>
      <c r="F2708" s="45" t="s">
        <v>69</v>
      </c>
    </row>
    <row r="2709" spans="5:6" x14ac:dyDescent="0.3">
      <c r="E2709" s="39" t="s">
        <v>394</v>
      </c>
      <c r="F2709" s="46" t="s">
        <v>69</v>
      </c>
    </row>
    <row r="2710" spans="5:6" x14ac:dyDescent="0.3">
      <c r="E2710" s="38" t="s">
        <v>1669</v>
      </c>
      <c r="F2710" s="45" t="s">
        <v>69</v>
      </c>
    </row>
    <row r="2711" spans="5:6" x14ac:dyDescent="0.3">
      <c r="E2711" s="39" t="s">
        <v>1879</v>
      </c>
      <c r="F2711" s="46" t="s">
        <v>69</v>
      </c>
    </row>
    <row r="2712" spans="5:6" x14ac:dyDescent="0.3">
      <c r="E2712" s="38" t="s">
        <v>1880</v>
      </c>
      <c r="F2712" s="45" t="s">
        <v>69</v>
      </c>
    </row>
    <row r="2713" spans="5:6" x14ac:dyDescent="0.3">
      <c r="E2713" s="39" t="s">
        <v>1881</v>
      </c>
      <c r="F2713" s="46" t="s">
        <v>69</v>
      </c>
    </row>
    <row r="2714" spans="5:6" x14ac:dyDescent="0.3">
      <c r="E2714" s="38" t="s">
        <v>1882</v>
      </c>
      <c r="F2714" s="45" t="s">
        <v>69</v>
      </c>
    </row>
    <row r="2715" spans="5:6" x14ac:dyDescent="0.3">
      <c r="E2715" s="39" t="s">
        <v>1883</v>
      </c>
      <c r="F2715" s="46" t="s">
        <v>69</v>
      </c>
    </row>
    <row r="2716" spans="5:6" x14ac:dyDescent="0.3">
      <c r="E2716" s="38" t="s">
        <v>1884</v>
      </c>
      <c r="F2716" s="45" t="s">
        <v>69</v>
      </c>
    </row>
    <row r="2717" spans="5:6" x14ac:dyDescent="0.3">
      <c r="E2717" s="39" t="s">
        <v>1885</v>
      </c>
      <c r="F2717" s="46" t="s">
        <v>69</v>
      </c>
    </row>
    <row r="2718" spans="5:6" x14ac:dyDescent="0.3">
      <c r="E2718" s="38" t="s">
        <v>1886</v>
      </c>
      <c r="F2718" s="45" t="s">
        <v>69</v>
      </c>
    </row>
    <row r="2719" spans="5:6" x14ac:dyDescent="0.3">
      <c r="E2719" s="39" t="s">
        <v>1732</v>
      </c>
      <c r="F2719" s="46" t="s">
        <v>69</v>
      </c>
    </row>
    <row r="2720" spans="5:6" x14ac:dyDescent="0.3">
      <c r="E2720" s="38" t="s">
        <v>983</v>
      </c>
      <c r="F2720" s="45" t="s">
        <v>69</v>
      </c>
    </row>
    <row r="2721" spans="5:6" x14ac:dyDescent="0.3">
      <c r="E2721" s="39" t="s">
        <v>1887</v>
      </c>
      <c r="F2721" s="46" t="s">
        <v>69</v>
      </c>
    </row>
    <row r="2722" spans="5:6" x14ac:dyDescent="0.3">
      <c r="E2722" s="38" t="s">
        <v>1888</v>
      </c>
      <c r="F2722" s="45" t="s">
        <v>69</v>
      </c>
    </row>
    <row r="2723" spans="5:6" x14ac:dyDescent="0.3">
      <c r="E2723" s="39" t="s">
        <v>1889</v>
      </c>
      <c r="F2723" s="46" t="s">
        <v>69</v>
      </c>
    </row>
    <row r="2724" spans="5:6" x14ac:dyDescent="0.3">
      <c r="E2724" s="38" t="s">
        <v>1890</v>
      </c>
      <c r="F2724" s="45" t="s">
        <v>69</v>
      </c>
    </row>
    <row r="2725" spans="5:6" x14ac:dyDescent="0.3">
      <c r="E2725" s="39" t="s">
        <v>1891</v>
      </c>
      <c r="F2725" s="46" t="s">
        <v>69</v>
      </c>
    </row>
    <row r="2726" spans="5:6" x14ac:dyDescent="0.3">
      <c r="E2726" s="38" t="s">
        <v>1892</v>
      </c>
      <c r="F2726" s="45" t="s">
        <v>69</v>
      </c>
    </row>
    <row r="2727" spans="5:6" x14ac:dyDescent="0.3">
      <c r="E2727" s="39" t="s">
        <v>1893</v>
      </c>
      <c r="F2727" s="46" t="s">
        <v>69</v>
      </c>
    </row>
    <row r="2728" spans="5:6" x14ac:dyDescent="0.3">
      <c r="E2728" s="38" t="s">
        <v>1894</v>
      </c>
      <c r="F2728" s="45" t="s">
        <v>69</v>
      </c>
    </row>
    <row r="2729" spans="5:6" x14ac:dyDescent="0.3">
      <c r="E2729" s="39" t="s">
        <v>1895</v>
      </c>
      <c r="F2729" s="46" t="s">
        <v>69</v>
      </c>
    </row>
    <row r="2730" spans="5:6" x14ac:dyDescent="0.3">
      <c r="E2730" s="38" t="s">
        <v>1896</v>
      </c>
      <c r="F2730" s="45" t="s">
        <v>69</v>
      </c>
    </row>
    <row r="2731" spans="5:6" x14ac:dyDescent="0.3">
      <c r="E2731" s="39" t="s">
        <v>1897</v>
      </c>
      <c r="F2731" s="46" t="s">
        <v>69</v>
      </c>
    </row>
    <row r="2732" spans="5:6" x14ac:dyDescent="0.3">
      <c r="E2732" s="38" t="s">
        <v>305</v>
      </c>
      <c r="F2732" s="45" t="s">
        <v>69</v>
      </c>
    </row>
    <row r="2733" spans="5:6" x14ac:dyDescent="0.3">
      <c r="E2733" s="39" t="s">
        <v>923</v>
      </c>
      <c r="F2733" s="46" t="s">
        <v>69</v>
      </c>
    </row>
    <row r="2734" spans="5:6" x14ac:dyDescent="0.3">
      <c r="E2734" s="38" t="s">
        <v>924</v>
      </c>
      <c r="F2734" s="45" t="s">
        <v>69</v>
      </c>
    </row>
    <row r="2735" spans="5:6" x14ac:dyDescent="0.3">
      <c r="E2735" s="39" t="s">
        <v>1898</v>
      </c>
      <c r="F2735" s="46" t="s">
        <v>69</v>
      </c>
    </row>
    <row r="2736" spans="5:6" x14ac:dyDescent="0.3">
      <c r="E2736" s="38" t="s">
        <v>1899</v>
      </c>
      <c r="F2736" s="45" t="s">
        <v>69</v>
      </c>
    </row>
    <row r="2737" spans="5:6" x14ac:dyDescent="0.3">
      <c r="E2737" s="39" t="s">
        <v>666</v>
      </c>
      <c r="F2737" s="46" t="s">
        <v>69</v>
      </c>
    </row>
    <row r="2738" spans="5:6" x14ac:dyDescent="0.3">
      <c r="E2738" s="38" t="s">
        <v>1900</v>
      </c>
      <c r="F2738" s="45" t="s">
        <v>69</v>
      </c>
    </row>
    <row r="2739" spans="5:6" x14ac:dyDescent="0.3">
      <c r="E2739" s="39" t="s">
        <v>1901</v>
      </c>
      <c r="F2739" s="46" t="s">
        <v>69</v>
      </c>
    </row>
    <row r="2740" spans="5:6" x14ac:dyDescent="0.3">
      <c r="E2740" s="38" t="s">
        <v>1902</v>
      </c>
      <c r="F2740" s="45" t="s">
        <v>69</v>
      </c>
    </row>
    <row r="2741" spans="5:6" x14ac:dyDescent="0.3">
      <c r="E2741" s="39" t="s">
        <v>1903</v>
      </c>
      <c r="F2741" s="46" t="s">
        <v>69</v>
      </c>
    </row>
    <row r="2742" spans="5:6" x14ac:dyDescent="0.3">
      <c r="E2742" s="38" t="s">
        <v>1904</v>
      </c>
      <c r="F2742" s="45" t="s">
        <v>69</v>
      </c>
    </row>
    <row r="2743" spans="5:6" x14ac:dyDescent="0.3">
      <c r="E2743" s="39" t="s">
        <v>579</v>
      </c>
      <c r="F2743" s="46" t="s">
        <v>69</v>
      </c>
    </row>
    <row r="2744" spans="5:6" x14ac:dyDescent="0.3">
      <c r="E2744" s="38" t="s">
        <v>672</v>
      </c>
      <c r="F2744" s="45" t="s">
        <v>69</v>
      </c>
    </row>
    <row r="2745" spans="5:6" x14ac:dyDescent="0.3">
      <c r="E2745" s="39" t="s">
        <v>1905</v>
      </c>
      <c r="F2745" s="46" t="s">
        <v>69</v>
      </c>
    </row>
    <row r="2746" spans="5:6" x14ac:dyDescent="0.3">
      <c r="E2746" s="38" t="s">
        <v>1906</v>
      </c>
      <c r="F2746" s="45" t="s">
        <v>69</v>
      </c>
    </row>
    <row r="2747" spans="5:6" x14ac:dyDescent="0.3">
      <c r="E2747" s="39" t="s">
        <v>1907</v>
      </c>
      <c r="F2747" s="46" t="s">
        <v>69</v>
      </c>
    </row>
    <row r="2748" spans="5:6" x14ac:dyDescent="0.3">
      <c r="E2748" s="38" t="s">
        <v>1908</v>
      </c>
      <c r="F2748" s="45" t="s">
        <v>69</v>
      </c>
    </row>
    <row r="2749" spans="5:6" x14ac:dyDescent="0.3">
      <c r="E2749" s="39" t="s">
        <v>1909</v>
      </c>
      <c r="F2749" s="46" t="s">
        <v>69</v>
      </c>
    </row>
    <row r="2750" spans="5:6" x14ac:dyDescent="0.3">
      <c r="E2750" s="38" t="s">
        <v>461</v>
      </c>
      <c r="F2750" s="45" t="s">
        <v>69</v>
      </c>
    </row>
    <row r="2751" spans="5:6" x14ac:dyDescent="0.3">
      <c r="E2751" s="39" t="s">
        <v>1910</v>
      </c>
      <c r="F2751" s="46" t="s">
        <v>69</v>
      </c>
    </row>
    <row r="2752" spans="5:6" x14ac:dyDescent="0.3">
      <c r="E2752" s="38" t="s">
        <v>1911</v>
      </c>
      <c r="F2752" s="45" t="s">
        <v>69</v>
      </c>
    </row>
    <row r="2753" spans="5:6" x14ac:dyDescent="0.3">
      <c r="E2753" s="39" t="s">
        <v>1912</v>
      </c>
      <c r="F2753" s="46" t="s">
        <v>69</v>
      </c>
    </row>
    <row r="2754" spans="5:6" x14ac:dyDescent="0.3">
      <c r="E2754" s="38" t="s">
        <v>1913</v>
      </c>
      <c r="F2754" s="45" t="s">
        <v>69</v>
      </c>
    </row>
    <row r="2755" spans="5:6" x14ac:dyDescent="0.3">
      <c r="E2755" s="39" t="s">
        <v>1914</v>
      </c>
      <c r="F2755" s="46" t="s">
        <v>69</v>
      </c>
    </row>
    <row r="2756" spans="5:6" x14ac:dyDescent="0.3">
      <c r="E2756" s="38" t="s">
        <v>1915</v>
      </c>
      <c r="F2756" s="45" t="s">
        <v>69</v>
      </c>
    </row>
    <row r="2757" spans="5:6" x14ac:dyDescent="0.3">
      <c r="E2757" s="39" t="s">
        <v>1916</v>
      </c>
      <c r="F2757" s="46" t="s">
        <v>69</v>
      </c>
    </row>
    <row r="2758" spans="5:6" x14ac:dyDescent="0.3">
      <c r="E2758" s="38" t="s">
        <v>310</v>
      </c>
      <c r="F2758" s="45" t="s">
        <v>69</v>
      </c>
    </row>
    <row r="2759" spans="5:6" x14ac:dyDescent="0.3">
      <c r="E2759" s="39" t="s">
        <v>1917</v>
      </c>
      <c r="F2759" s="46" t="s">
        <v>69</v>
      </c>
    </row>
    <row r="2760" spans="5:6" x14ac:dyDescent="0.3">
      <c r="E2760" s="38" t="s">
        <v>1547</v>
      </c>
      <c r="F2760" s="45" t="s">
        <v>69</v>
      </c>
    </row>
    <row r="2761" spans="5:6" x14ac:dyDescent="0.3">
      <c r="E2761" s="39" t="s">
        <v>311</v>
      </c>
      <c r="F2761" s="46" t="s">
        <v>69</v>
      </c>
    </row>
    <row r="2762" spans="5:6" x14ac:dyDescent="0.3">
      <c r="E2762" s="38" t="s">
        <v>1918</v>
      </c>
      <c r="F2762" s="45" t="s">
        <v>69</v>
      </c>
    </row>
    <row r="2763" spans="5:6" x14ac:dyDescent="0.3">
      <c r="E2763" s="39" t="s">
        <v>1919</v>
      </c>
      <c r="F2763" s="46" t="s">
        <v>69</v>
      </c>
    </row>
    <row r="2764" spans="5:6" x14ac:dyDescent="0.3">
      <c r="E2764" s="38" t="s">
        <v>686</v>
      </c>
      <c r="F2764" s="45" t="s">
        <v>69</v>
      </c>
    </row>
    <row r="2765" spans="5:6" x14ac:dyDescent="0.3">
      <c r="E2765" s="39" t="s">
        <v>932</v>
      </c>
      <c r="F2765" s="46" t="s">
        <v>69</v>
      </c>
    </row>
    <row r="2766" spans="5:6" x14ac:dyDescent="0.3">
      <c r="E2766" s="38" t="s">
        <v>1920</v>
      </c>
      <c r="F2766" s="45" t="s">
        <v>69</v>
      </c>
    </row>
    <row r="2767" spans="5:6" x14ac:dyDescent="0.3">
      <c r="E2767" s="39" t="s">
        <v>1921</v>
      </c>
      <c r="F2767" s="46" t="s">
        <v>69</v>
      </c>
    </row>
    <row r="2768" spans="5:6" x14ac:dyDescent="0.3">
      <c r="E2768" s="38" t="s">
        <v>780</v>
      </c>
      <c r="F2768" s="45" t="s">
        <v>69</v>
      </c>
    </row>
    <row r="2769" spans="5:6" x14ac:dyDescent="0.3">
      <c r="E2769" s="39" t="s">
        <v>933</v>
      </c>
      <c r="F2769" s="46" t="s">
        <v>69</v>
      </c>
    </row>
    <row r="2770" spans="5:6" x14ac:dyDescent="0.3">
      <c r="E2770" s="38" t="s">
        <v>1922</v>
      </c>
      <c r="F2770" s="45" t="s">
        <v>69</v>
      </c>
    </row>
    <row r="2771" spans="5:6" x14ac:dyDescent="0.3">
      <c r="E2771" s="39" t="s">
        <v>1923</v>
      </c>
      <c r="F2771" s="46" t="s">
        <v>69</v>
      </c>
    </row>
    <row r="2772" spans="5:6" x14ac:dyDescent="0.3">
      <c r="E2772" s="38" t="s">
        <v>1582</v>
      </c>
      <c r="F2772" s="45" t="s">
        <v>69</v>
      </c>
    </row>
    <row r="2773" spans="5:6" x14ac:dyDescent="0.3">
      <c r="E2773" s="39" t="s">
        <v>1924</v>
      </c>
      <c r="F2773" s="46" t="s">
        <v>69</v>
      </c>
    </row>
    <row r="2774" spans="5:6" x14ac:dyDescent="0.3">
      <c r="E2774" s="38" t="s">
        <v>1925</v>
      </c>
      <c r="F2774" s="45" t="s">
        <v>69</v>
      </c>
    </row>
    <row r="2775" spans="5:6" x14ac:dyDescent="0.3">
      <c r="E2775" s="39" t="s">
        <v>1926</v>
      </c>
      <c r="F2775" s="46" t="s">
        <v>69</v>
      </c>
    </row>
    <row r="2776" spans="5:6" x14ac:dyDescent="0.3">
      <c r="E2776" s="38" t="s">
        <v>1927</v>
      </c>
      <c r="F2776" s="45" t="s">
        <v>69</v>
      </c>
    </row>
    <row r="2777" spans="5:6" x14ac:dyDescent="0.3">
      <c r="E2777" s="39" t="s">
        <v>1586</v>
      </c>
      <c r="F2777" s="46" t="s">
        <v>68</v>
      </c>
    </row>
    <row r="2778" spans="5:6" x14ac:dyDescent="0.3">
      <c r="E2778" s="38" t="s">
        <v>1928</v>
      </c>
      <c r="F2778" s="45" t="s">
        <v>68</v>
      </c>
    </row>
    <row r="2779" spans="5:6" x14ac:dyDescent="0.3">
      <c r="E2779" s="39" t="s">
        <v>1929</v>
      </c>
      <c r="F2779" s="46" t="s">
        <v>68</v>
      </c>
    </row>
    <row r="2780" spans="5:6" x14ac:dyDescent="0.3">
      <c r="E2780" s="38" t="s">
        <v>1296</v>
      </c>
      <c r="F2780" s="45" t="s">
        <v>68</v>
      </c>
    </row>
    <row r="2781" spans="5:6" x14ac:dyDescent="0.3">
      <c r="E2781" s="39" t="s">
        <v>1930</v>
      </c>
      <c r="F2781" s="46" t="s">
        <v>68</v>
      </c>
    </row>
    <row r="2782" spans="5:6" x14ac:dyDescent="0.3">
      <c r="E2782" s="38" t="s">
        <v>835</v>
      </c>
      <c r="F2782" s="45" t="s">
        <v>68</v>
      </c>
    </row>
    <row r="2783" spans="5:6" x14ac:dyDescent="0.3">
      <c r="E2783" s="39" t="s">
        <v>1931</v>
      </c>
      <c r="F2783" s="46" t="s">
        <v>68</v>
      </c>
    </row>
    <row r="2784" spans="5:6" x14ac:dyDescent="0.3">
      <c r="E2784" s="38" t="s">
        <v>1932</v>
      </c>
      <c r="F2784" s="45" t="s">
        <v>68</v>
      </c>
    </row>
    <row r="2785" spans="5:6" x14ac:dyDescent="0.3">
      <c r="E2785" s="39" t="s">
        <v>489</v>
      </c>
      <c r="F2785" s="46" t="s">
        <v>68</v>
      </c>
    </row>
    <row r="2786" spans="5:6" x14ac:dyDescent="0.3">
      <c r="E2786" s="38" t="s">
        <v>491</v>
      </c>
      <c r="F2786" s="45" t="s">
        <v>68</v>
      </c>
    </row>
    <row r="2787" spans="5:6" x14ac:dyDescent="0.3">
      <c r="E2787" s="39" t="s">
        <v>1118</v>
      </c>
      <c r="F2787" s="46" t="s">
        <v>68</v>
      </c>
    </row>
    <row r="2788" spans="5:6" x14ac:dyDescent="0.3">
      <c r="E2788" s="38" t="s">
        <v>1933</v>
      </c>
      <c r="F2788" s="45" t="s">
        <v>68</v>
      </c>
    </row>
    <row r="2789" spans="5:6" x14ac:dyDescent="0.3">
      <c r="E2789" s="39" t="s">
        <v>751</v>
      </c>
      <c r="F2789" s="46" t="s">
        <v>68</v>
      </c>
    </row>
    <row r="2790" spans="5:6" x14ac:dyDescent="0.3">
      <c r="E2790" s="38" t="s">
        <v>1934</v>
      </c>
      <c r="F2790" s="45" t="s">
        <v>68</v>
      </c>
    </row>
    <row r="2791" spans="5:6" x14ac:dyDescent="0.3">
      <c r="E2791" s="39" t="s">
        <v>298</v>
      </c>
      <c r="F2791" s="46" t="s">
        <v>68</v>
      </c>
    </row>
    <row r="2792" spans="5:6" x14ac:dyDescent="0.3">
      <c r="E2792" s="38" t="s">
        <v>1935</v>
      </c>
      <c r="F2792" s="45" t="s">
        <v>68</v>
      </c>
    </row>
    <row r="2793" spans="5:6" x14ac:dyDescent="0.3">
      <c r="E2793" s="39" t="s">
        <v>1936</v>
      </c>
      <c r="F2793" s="46" t="s">
        <v>68</v>
      </c>
    </row>
    <row r="2794" spans="5:6" x14ac:dyDescent="0.3">
      <c r="E2794" s="38" t="s">
        <v>1937</v>
      </c>
      <c r="F2794" s="45" t="s">
        <v>68</v>
      </c>
    </row>
    <row r="2795" spans="5:6" x14ac:dyDescent="0.3">
      <c r="E2795" s="39" t="s">
        <v>515</v>
      </c>
      <c r="F2795" s="46" t="s">
        <v>68</v>
      </c>
    </row>
    <row r="2796" spans="5:6" x14ac:dyDescent="0.3">
      <c r="E2796" s="38" t="s">
        <v>1938</v>
      </c>
      <c r="F2796" s="45" t="s">
        <v>68</v>
      </c>
    </row>
    <row r="2797" spans="5:6" x14ac:dyDescent="0.3">
      <c r="E2797" s="39" t="s">
        <v>403</v>
      </c>
      <c r="F2797" s="46" t="s">
        <v>68</v>
      </c>
    </row>
    <row r="2798" spans="5:6" x14ac:dyDescent="0.3">
      <c r="E2798" s="38" t="s">
        <v>518</v>
      </c>
      <c r="F2798" s="45" t="s">
        <v>68</v>
      </c>
    </row>
    <row r="2799" spans="5:6" x14ac:dyDescent="0.3">
      <c r="E2799" s="39" t="s">
        <v>1939</v>
      </c>
      <c r="F2799" s="46" t="s">
        <v>68</v>
      </c>
    </row>
    <row r="2800" spans="5:6" x14ac:dyDescent="0.3">
      <c r="E2800" s="38" t="s">
        <v>1940</v>
      </c>
      <c r="F2800" s="45" t="s">
        <v>68</v>
      </c>
    </row>
    <row r="2801" spans="5:6" x14ac:dyDescent="0.3">
      <c r="E2801" s="39" t="s">
        <v>1941</v>
      </c>
      <c r="F2801" s="46" t="s">
        <v>68</v>
      </c>
    </row>
    <row r="2802" spans="5:6" x14ac:dyDescent="0.3">
      <c r="E2802" s="38" t="s">
        <v>1942</v>
      </c>
      <c r="F2802" s="45" t="s">
        <v>68</v>
      </c>
    </row>
    <row r="2803" spans="5:6" x14ac:dyDescent="0.3">
      <c r="E2803" s="39" t="s">
        <v>311</v>
      </c>
      <c r="F2803" s="46" t="s">
        <v>68</v>
      </c>
    </row>
    <row r="2804" spans="5:6" x14ac:dyDescent="0.3">
      <c r="E2804" s="38" t="s">
        <v>684</v>
      </c>
      <c r="F2804" s="45" t="s">
        <v>68</v>
      </c>
    </row>
    <row r="2805" spans="5:6" x14ac:dyDescent="0.3">
      <c r="E2805" s="39" t="s">
        <v>1943</v>
      </c>
      <c r="F2805" s="46" t="s">
        <v>68</v>
      </c>
    </row>
    <row r="2806" spans="5:6" x14ac:dyDescent="0.3">
      <c r="E2806" s="38" t="s">
        <v>1944</v>
      </c>
      <c r="F2806" s="45" t="s">
        <v>67</v>
      </c>
    </row>
    <row r="2807" spans="5:6" x14ac:dyDescent="0.3">
      <c r="E2807" s="39" t="s">
        <v>1945</v>
      </c>
      <c r="F2807" s="46" t="s">
        <v>67</v>
      </c>
    </row>
    <row r="2808" spans="5:6" x14ac:dyDescent="0.3">
      <c r="E2808" s="38" t="s">
        <v>1946</v>
      </c>
      <c r="F2808" s="45" t="s">
        <v>67</v>
      </c>
    </row>
    <row r="2809" spans="5:6" x14ac:dyDescent="0.3">
      <c r="E2809" s="39" t="s">
        <v>1947</v>
      </c>
      <c r="F2809" s="46" t="s">
        <v>67</v>
      </c>
    </row>
    <row r="2810" spans="5:6" x14ac:dyDescent="0.3">
      <c r="E2810" s="38" t="s">
        <v>1086</v>
      </c>
      <c r="F2810" s="45" t="s">
        <v>67</v>
      </c>
    </row>
    <row r="2811" spans="5:6" x14ac:dyDescent="0.3">
      <c r="E2811" s="39" t="s">
        <v>276</v>
      </c>
      <c r="F2811" s="46" t="s">
        <v>67</v>
      </c>
    </row>
    <row r="2812" spans="5:6" x14ac:dyDescent="0.3">
      <c r="E2812" s="38" t="s">
        <v>1948</v>
      </c>
      <c r="F2812" s="45" t="s">
        <v>67</v>
      </c>
    </row>
    <row r="2813" spans="5:6" x14ac:dyDescent="0.3">
      <c r="E2813" s="39" t="s">
        <v>1949</v>
      </c>
      <c r="F2813" s="46" t="s">
        <v>67</v>
      </c>
    </row>
    <row r="2814" spans="5:6" x14ac:dyDescent="0.3">
      <c r="E2814" s="38" t="s">
        <v>439</v>
      </c>
      <c r="F2814" s="45" t="s">
        <v>67</v>
      </c>
    </row>
    <row r="2815" spans="5:6" x14ac:dyDescent="0.3">
      <c r="E2815" s="39" t="s">
        <v>1438</v>
      </c>
      <c r="F2815" s="46" t="s">
        <v>67</v>
      </c>
    </row>
    <row r="2816" spans="5:6" x14ac:dyDescent="0.3">
      <c r="E2816" s="38" t="s">
        <v>1950</v>
      </c>
      <c r="F2816" s="45" t="s">
        <v>67</v>
      </c>
    </row>
    <row r="2817" spans="5:6" x14ac:dyDescent="0.3">
      <c r="E2817" s="39" t="s">
        <v>311</v>
      </c>
      <c r="F2817" s="46" t="s">
        <v>67</v>
      </c>
    </row>
    <row r="2818" spans="5:6" x14ac:dyDescent="0.3">
      <c r="E2818" s="38" t="s">
        <v>528</v>
      </c>
      <c r="F2818" s="45" t="s">
        <v>67</v>
      </c>
    </row>
    <row r="2819" spans="5:6" x14ac:dyDescent="0.3">
      <c r="E2819" s="39" t="s">
        <v>1951</v>
      </c>
      <c r="F2819" s="46" t="s">
        <v>67</v>
      </c>
    </row>
    <row r="2820" spans="5:6" x14ac:dyDescent="0.3">
      <c r="E2820" s="38" t="s">
        <v>1952</v>
      </c>
      <c r="F2820" s="45" t="s">
        <v>66</v>
      </c>
    </row>
    <row r="2821" spans="5:6" x14ac:dyDescent="0.3">
      <c r="E2821" s="39" t="s">
        <v>1953</v>
      </c>
      <c r="F2821" s="46" t="s">
        <v>66</v>
      </c>
    </row>
    <row r="2822" spans="5:6" x14ac:dyDescent="0.3">
      <c r="E2822" s="38" t="s">
        <v>1455</v>
      </c>
      <c r="F2822" s="45" t="s">
        <v>66</v>
      </c>
    </row>
    <row r="2823" spans="5:6" x14ac:dyDescent="0.3">
      <c r="E2823" s="39" t="s">
        <v>1954</v>
      </c>
      <c r="F2823" s="46" t="s">
        <v>66</v>
      </c>
    </row>
    <row r="2824" spans="5:6" x14ac:dyDescent="0.3">
      <c r="E2824" s="38" t="s">
        <v>1955</v>
      </c>
      <c r="F2824" s="45" t="s">
        <v>66</v>
      </c>
    </row>
    <row r="2825" spans="5:6" x14ac:dyDescent="0.3">
      <c r="E2825" s="39" t="s">
        <v>1956</v>
      </c>
      <c r="F2825" s="46" t="s">
        <v>66</v>
      </c>
    </row>
    <row r="2826" spans="5:6" x14ac:dyDescent="0.3">
      <c r="E2826" s="38" t="s">
        <v>1957</v>
      </c>
      <c r="F2826" s="45" t="s">
        <v>66</v>
      </c>
    </row>
    <row r="2827" spans="5:6" x14ac:dyDescent="0.3">
      <c r="E2827" s="39" t="s">
        <v>1958</v>
      </c>
      <c r="F2827" s="46" t="s">
        <v>66</v>
      </c>
    </row>
    <row r="2828" spans="5:6" x14ac:dyDescent="0.3">
      <c r="E2828" s="38" t="s">
        <v>938</v>
      </c>
      <c r="F2828" s="45" t="s">
        <v>66</v>
      </c>
    </row>
    <row r="2829" spans="5:6" x14ac:dyDescent="0.3">
      <c r="E2829" s="39" t="s">
        <v>1644</v>
      </c>
      <c r="F2829" s="46" t="s">
        <v>66</v>
      </c>
    </row>
    <row r="2830" spans="5:6" x14ac:dyDescent="0.3">
      <c r="E2830" s="38" t="s">
        <v>1959</v>
      </c>
      <c r="F2830" s="45" t="s">
        <v>66</v>
      </c>
    </row>
    <row r="2831" spans="5:6" x14ac:dyDescent="0.3">
      <c r="E2831" s="39" t="s">
        <v>1960</v>
      </c>
      <c r="F2831" s="46" t="s">
        <v>66</v>
      </c>
    </row>
    <row r="2832" spans="5:6" x14ac:dyDescent="0.3">
      <c r="E2832" s="38" t="s">
        <v>1462</v>
      </c>
      <c r="F2832" s="45" t="s">
        <v>66</v>
      </c>
    </row>
    <row r="2833" spans="5:6" x14ac:dyDescent="0.3">
      <c r="E2833" s="39" t="s">
        <v>830</v>
      </c>
      <c r="F2833" s="46" t="s">
        <v>66</v>
      </c>
    </row>
    <row r="2834" spans="5:6" x14ac:dyDescent="0.3">
      <c r="E2834" s="38" t="s">
        <v>1961</v>
      </c>
      <c r="F2834" s="45" t="s">
        <v>66</v>
      </c>
    </row>
    <row r="2835" spans="5:6" x14ac:dyDescent="0.3">
      <c r="E2835" s="39" t="s">
        <v>948</v>
      </c>
      <c r="F2835" s="46" t="s">
        <v>66</v>
      </c>
    </row>
    <row r="2836" spans="5:6" x14ac:dyDescent="0.3">
      <c r="E2836" s="38" t="s">
        <v>1069</v>
      </c>
      <c r="F2836" s="45" t="s">
        <v>66</v>
      </c>
    </row>
    <row r="2837" spans="5:6" x14ac:dyDescent="0.3">
      <c r="E2837" s="39" t="s">
        <v>360</v>
      </c>
      <c r="F2837" s="46" t="s">
        <v>66</v>
      </c>
    </row>
    <row r="2838" spans="5:6" x14ac:dyDescent="0.3">
      <c r="E2838" s="38" t="s">
        <v>1962</v>
      </c>
      <c r="F2838" s="45" t="s">
        <v>66</v>
      </c>
    </row>
    <row r="2839" spans="5:6" x14ac:dyDescent="0.3">
      <c r="E2839" s="39" t="s">
        <v>540</v>
      </c>
      <c r="F2839" s="46" t="s">
        <v>66</v>
      </c>
    </row>
    <row r="2840" spans="5:6" x14ac:dyDescent="0.3">
      <c r="E2840" s="38" t="s">
        <v>1684</v>
      </c>
      <c r="F2840" s="45" t="s">
        <v>66</v>
      </c>
    </row>
    <row r="2841" spans="5:6" x14ac:dyDescent="0.3">
      <c r="E2841" s="39" t="s">
        <v>259</v>
      </c>
      <c r="F2841" s="46" t="s">
        <v>66</v>
      </c>
    </row>
    <row r="2842" spans="5:6" x14ac:dyDescent="0.3">
      <c r="E2842" s="38" t="s">
        <v>1593</v>
      </c>
      <c r="F2842" s="45" t="s">
        <v>66</v>
      </c>
    </row>
    <row r="2843" spans="5:6" x14ac:dyDescent="0.3">
      <c r="E2843" s="39" t="s">
        <v>1963</v>
      </c>
      <c r="F2843" s="46" t="s">
        <v>66</v>
      </c>
    </row>
    <row r="2844" spans="5:6" x14ac:dyDescent="0.3">
      <c r="E2844" s="38" t="s">
        <v>738</v>
      </c>
      <c r="F2844" s="45" t="s">
        <v>66</v>
      </c>
    </row>
    <row r="2845" spans="5:6" x14ac:dyDescent="0.3">
      <c r="E2845" s="39" t="s">
        <v>1964</v>
      </c>
      <c r="F2845" s="46" t="s">
        <v>66</v>
      </c>
    </row>
    <row r="2846" spans="5:6" x14ac:dyDescent="0.3">
      <c r="E2846" s="38" t="s">
        <v>1965</v>
      </c>
      <c r="F2846" s="45" t="s">
        <v>66</v>
      </c>
    </row>
    <row r="2847" spans="5:6" x14ac:dyDescent="0.3">
      <c r="E2847" s="39" t="s">
        <v>1086</v>
      </c>
      <c r="F2847" s="46" t="s">
        <v>66</v>
      </c>
    </row>
    <row r="2848" spans="5:6" x14ac:dyDescent="0.3">
      <c r="E2848" s="38" t="s">
        <v>1966</v>
      </c>
      <c r="F2848" s="45" t="s">
        <v>66</v>
      </c>
    </row>
    <row r="2849" spans="5:6" x14ac:dyDescent="0.3">
      <c r="E2849" s="39" t="s">
        <v>1967</v>
      </c>
      <c r="F2849" s="46" t="s">
        <v>66</v>
      </c>
    </row>
    <row r="2850" spans="5:6" x14ac:dyDescent="0.3">
      <c r="E2850" s="38" t="s">
        <v>624</v>
      </c>
      <c r="F2850" s="45" t="s">
        <v>66</v>
      </c>
    </row>
    <row r="2851" spans="5:6" x14ac:dyDescent="0.3">
      <c r="E2851" s="39" t="s">
        <v>1968</v>
      </c>
      <c r="F2851" s="46" t="s">
        <v>66</v>
      </c>
    </row>
    <row r="2852" spans="5:6" x14ac:dyDescent="0.3">
      <c r="E2852" s="38" t="s">
        <v>276</v>
      </c>
      <c r="F2852" s="45" t="s">
        <v>66</v>
      </c>
    </row>
    <row r="2853" spans="5:6" x14ac:dyDescent="0.3">
      <c r="E2853" s="39" t="s">
        <v>1073</v>
      </c>
      <c r="F2853" s="46" t="s">
        <v>66</v>
      </c>
    </row>
    <row r="2854" spans="5:6" x14ac:dyDescent="0.3">
      <c r="E2854" s="38" t="s">
        <v>1749</v>
      </c>
      <c r="F2854" s="45" t="s">
        <v>66</v>
      </c>
    </row>
    <row r="2855" spans="5:6" x14ac:dyDescent="0.3">
      <c r="E2855" s="39" t="s">
        <v>1392</v>
      </c>
      <c r="F2855" s="46" t="s">
        <v>66</v>
      </c>
    </row>
    <row r="2856" spans="5:6" x14ac:dyDescent="0.3">
      <c r="E2856" s="38" t="s">
        <v>1969</v>
      </c>
      <c r="F2856" s="45" t="s">
        <v>66</v>
      </c>
    </row>
    <row r="2857" spans="5:6" x14ac:dyDescent="0.3">
      <c r="E2857" s="39" t="s">
        <v>958</v>
      </c>
      <c r="F2857" s="46" t="s">
        <v>66</v>
      </c>
    </row>
    <row r="2858" spans="5:6" x14ac:dyDescent="0.3">
      <c r="E2858" s="38" t="s">
        <v>278</v>
      </c>
      <c r="F2858" s="45" t="s">
        <v>66</v>
      </c>
    </row>
    <row r="2859" spans="5:6" x14ac:dyDescent="0.3">
      <c r="E2859" s="39" t="s">
        <v>1970</v>
      </c>
      <c r="F2859" s="46" t="s">
        <v>66</v>
      </c>
    </row>
    <row r="2860" spans="5:6" x14ac:dyDescent="0.3">
      <c r="E2860" s="38" t="s">
        <v>1482</v>
      </c>
      <c r="F2860" s="45" t="s">
        <v>66</v>
      </c>
    </row>
    <row r="2861" spans="5:6" x14ac:dyDescent="0.3">
      <c r="E2861" s="39" t="s">
        <v>1971</v>
      </c>
      <c r="F2861" s="46" t="s">
        <v>66</v>
      </c>
    </row>
    <row r="2862" spans="5:6" x14ac:dyDescent="0.3">
      <c r="E2862" s="38" t="s">
        <v>1972</v>
      </c>
      <c r="F2862" s="45" t="s">
        <v>66</v>
      </c>
    </row>
    <row r="2863" spans="5:6" x14ac:dyDescent="0.3">
      <c r="E2863" s="39" t="s">
        <v>280</v>
      </c>
      <c r="F2863" s="46" t="s">
        <v>66</v>
      </c>
    </row>
    <row r="2864" spans="5:6" x14ac:dyDescent="0.3">
      <c r="E2864" s="38" t="s">
        <v>1563</v>
      </c>
      <c r="F2864" s="45" t="s">
        <v>66</v>
      </c>
    </row>
    <row r="2865" spans="5:6" x14ac:dyDescent="0.3">
      <c r="E2865" s="39" t="s">
        <v>1973</v>
      </c>
      <c r="F2865" s="46" t="s">
        <v>66</v>
      </c>
    </row>
    <row r="2866" spans="5:6" x14ac:dyDescent="0.3">
      <c r="E2866" s="38" t="s">
        <v>1974</v>
      </c>
      <c r="F2866" s="45" t="s">
        <v>66</v>
      </c>
    </row>
    <row r="2867" spans="5:6" x14ac:dyDescent="0.3">
      <c r="E2867" s="39" t="s">
        <v>1975</v>
      </c>
      <c r="F2867" s="46" t="s">
        <v>66</v>
      </c>
    </row>
    <row r="2868" spans="5:6" x14ac:dyDescent="0.3">
      <c r="E2868" s="38" t="s">
        <v>1976</v>
      </c>
      <c r="F2868" s="45" t="s">
        <v>66</v>
      </c>
    </row>
    <row r="2869" spans="5:6" x14ac:dyDescent="0.3">
      <c r="E2869" s="39" t="s">
        <v>1977</v>
      </c>
      <c r="F2869" s="46" t="s">
        <v>66</v>
      </c>
    </row>
    <row r="2870" spans="5:6" x14ac:dyDescent="0.3">
      <c r="E2870" s="38" t="s">
        <v>1355</v>
      </c>
      <c r="F2870" s="45" t="s">
        <v>66</v>
      </c>
    </row>
    <row r="2871" spans="5:6" x14ac:dyDescent="0.3">
      <c r="E2871" s="39" t="s">
        <v>287</v>
      </c>
      <c r="F2871" s="46" t="s">
        <v>66</v>
      </c>
    </row>
    <row r="2872" spans="5:6" x14ac:dyDescent="0.3">
      <c r="E2872" s="38" t="s">
        <v>1978</v>
      </c>
      <c r="F2872" s="45" t="s">
        <v>66</v>
      </c>
    </row>
    <row r="2873" spans="5:6" x14ac:dyDescent="0.3">
      <c r="E2873" s="39" t="s">
        <v>846</v>
      </c>
      <c r="F2873" s="46" t="s">
        <v>66</v>
      </c>
    </row>
    <row r="2874" spans="5:6" x14ac:dyDescent="0.3">
      <c r="E2874" s="38" t="s">
        <v>1979</v>
      </c>
      <c r="F2874" s="45" t="s">
        <v>66</v>
      </c>
    </row>
    <row r="2875" spans="5:6" x14ac:dyDescent="0.3">
      <c r="E2875" s="39" t="s">
        <v>291</v>
      </c>
      <c r="F2875" s="46" t="s">
        <v>66</v>
      </c>
    </row>
    <row r="2876" spans="5:6" x14ac:dyDescent="0.3">
      <c r="E2876" s="38" t="s">
        <v>1980</v>
      </c>
      <c r="F2876" s="45" t="s">
        <v>66</v>
      </c>
    </row>
    <row r="2877" spans="5:6" x14ac:dyDescent="0.3">
      <c r="E2877" s="39" t="s">
        <v>1492</v>
      </c>
      <c r="F2877" s="46" t="s">
        <v>66</v>
      </c>
    </row>
    <row r="2878" spans="5:6" x14ac:dyDescent="0.3">
      <c r="E2878" s="38" t="s">
        <v>524</v>
      </c>
      <c r="F2878" s="45" t="s">
        <v>66</v>
      </c>
    </row>
    <row r="2879" spans="5:6" x14ac:dyDescent="0.3">
      <c r="E2879" s="39" t="s">
        <v>297</v>
      </c>
      <c r="F2879" s="46" t="s">
        <v>66</v>
      </c>
    </row>
    <row r="2880" spans="5:6" x14ac:dyDescent="0.3">
      <c r="E2880" s="38" t="s">
        <v>977</v>
      </c>
      <c r="F2880" s="45" t="s">
        <v>66</v>
      </c>
    </row>
    <row r="2881" spans="5:6" x14ac:dyDescent="0.3">
      <c r="E2881" s="39" t="s">
        <v>1981</v>
      </c>
      <c r="F2881" s="46" t="s">
        <v>66</v>
      </c>
    </row>
    <row r="2882" spans="5:6" x14ac:dyDescent="0.3">
      <c r="E2882" s="38" t="s">
        <v>1496</v>
      </c>
      <c r="F2882" s="45" t="s">
        <v>66</v>
      </c>
    </row>
    <row r="2883" spans="5:6" x14ac:dyDescent="0.3">
      <c r="E2883" s="39" t="s">
        <v>1667</v>
      </c>
      <c r="F2883" s="46" t="s">
        <v>66</v>
      </c>
    </row>
    <row r="2884" spans="5:6" x14ac:dyDescent="0.3">
      <c r="E2884" s="38" t="s">
        <v>1982</v>
      </c>
      <c r="F2884" s="45" t="s">
        <v>66</v>
      </c>
    </row>
    <row r="2885" spans="5:6" x14ac:dyDescent="0.3">
      <c r="E2885" s="39" t="s">
        <v>439</v>
      </c>
      <c r="F2885" s="46" t="s">
        <v>66</v>
      </c>
    </row>
    <row r="2886" spans="5:6" x14ac:dyDescent="0.3">
      <c r="E2886" s="38" t="s">
        <v>854</v>
      </c>
      <c r="F2886" s="45" t="s">
        <v>66</v>
      </c>
    </row>
    <row r="2887" spans="5:6" x14ac:dyDescent="0.3">
      <c r="E2887" s="39" t="s">
        <v>1983</v>
      </c>
      <c r="F2887" s="46" t="s">
        <v>66</v>
      </c>
    </row>
    <row r="2888" spans="5:6" x14ac:dyDescent="0.3">
      <c r="E2888" s="38" t="s">
        <v>1984</v>
      </c>
      <c r="F2888" s="45" t="s">
        <v>66</v>
      </c>
    </row>
    <row r="2889" spans="5:6" x14ac:dyDescent="0.3">
      <c r="E2889" s="39" t="s">
        <v>1985</v>
      </c>
      <c r="F2889" s="46" t="s">
        <v>66</v>
      </c>
    </row>
    <row r="2890" spans="5:6" x14ac:dyDescent="0.3">
      <c r="E2890" s="38" t="s">
        <v>1986</v>
      </c>
      <c r="F2890" s="45" t="s">
        <v>66</v>
      </c>
    </row>
    <row r="2891" spans="5:6" x14ac:dyDescent="0.3">
      <c r="E2891" s="39" t="s">
        <v>1987</v>
      </c>
      <c r="F2891" s="46" t="s">
        <v>66</v>
      </c>
    </row>
    <row r="2892" spans="5:6" x14ac:dyDescent="0.3">
      <c r="E2892" s="38" t="s">
        <v>1988</v>
      </c>
      <c r="F2892" s="45" t="s">
        <v>66</v>
      </c>
    </row>
    <row r="2893" spans="5:6" x14ac:dyDescent="0.3">
      <c r="E2893" s="39" t="s">
        <v>397</v>
      </c>
      <c r="F2893" s="46" t="s">
        <v>66</v>
      </c>
    </row>
    <row r="2894" spans="5:6" x14ac:dyDescent="0.3">
      <c r="E2894" s="38" t="s">
        <v>1989</v>
      </c>
      <c r="F2894" s="45" t="s">
        <v>66</v>
      </c>
    </row>
    <row r="2895" spans="5:6" x14ac:dyDescent="0.3">
      <c r="E2895" s="39" t="s">
        <v>661</v>
      </c>
      <c r="F2895" s="46" t="s">
        <v>66</v>
      </c>
    </row>
    <row r="2896" spans="5:6" x14ac:dyDescent="0.3">
      <c r="E2896" s="38" t="s">
        <v>1990</v>
      </c>
      <c r="F2896" s="45" t="s">
        <v>66</v>
      </c>
    </row>
    <row r="2897" spans="5:6" x14ac:dyDescent="0.3">
      <c r="E2897" s="39" t="s">
        <v>1991</v>
      </c>
      <c r="F2897" s="46" t="s">
        <v>66</v>
      </c>
    </row>
    <row r="2898" spans="5:6" x14ac:dyDescent="0.3">
      <c r="E2898" s="38" t="s">
        <v>1386</v>
      </c>
      <c r="F2898" s="45" t="s">
        <v>66</v>
      </c>
    </row>
    <row r="2899" spans="5:6" x14ac:dyDescent="0.3">
      <c r="E2899" s="39" t="s">
        <v>303</v>
      </c>
      <c r="F2899" s="46" t="s">
        <v>66</v>
      </c>
    </row>
    <row r="2900" spans="5:6" x14ac:dyDescent="0.3">
      <c r="E2900" s="38" t="s">
        <v>400</v>
      </c>
      <c r="F2900" s="45" t="s">
        <v>66</v>
      </c>
    </row>
    <row r="2901" spans="5:6" x14ac:dyDescent="0.3">
      <c r="E2901" s="39" t="s">
        <v>1992</v>
      </c>
      <c r="F2901" s="46" t="s">
        <v>66</v>
      </c>
    </row>
    <row r="2902" spans="5:6" x14ac:dyDescent="0.3">
      <c r="E2902" s="38" t="s">
        <v>1993</v>
      </c>
      <c r="F2902" s="45" t="s">
        <v>66</v>
      </c>
    </row>
    <row r="2903" spans="5:6" x14ac:dyDescent="0.3">
      <c r="E2903" s="39" t="s">
        <v>1994</v>
      </c>
      <c r="F2903" s="46" t="s">
        <v>66</v>
      </c>
    </row>
    <row r="2904" spans="5:6" x14ac:dyDescent="0.3">
      <c r="E2904" s="38" t="s">
        <v>1995</v>
      </c>
      <c r="F2904" s="45" t="s">
        <v>66</v>
      </c>
    </row>
    <row r="2905" spans="5:6" x14ac:dyDescent="0.3">
      <c r="E2905" s="39" t="s">
        <v>925</v>
      </c>
      <c r="F2905" s="46" t="s">
        <v>66</v>
      </c>
    </row>
    <row r="2906" spans="5:6" x14ac:dyDescent="0.3">
      <c r="E2906" s="38" t="s">
        <v>1509</v>
      </c>
      <c r="F2906" s="45" t="s">
        <v>66</v>
      </c>
    </row>
    <row r="2907" spans="5:6" x14ac:dyDescent="0.3">
      <c r="E2907" s="39" t="s">
        <v>531</v>
      </c>
      <c r="F2907" s="46" t="s">
        <v>66</v>
      </c>
    </row>
    <row r="2908" spans="5:6" x14ac:dyDescent="0.3">
      <c r="E2908" s="38" t="s">
        <v>775</v>
      </c>
      <c r="F2908" s="45" t="s">
        <v>66</v>
      </c>
    </row>
    <row r="2909" spans="5:6" x14ac:dyDescent="0.3">
      <c r="E2909" s="39" t="s">
        <v>683</v>
      </c>
      <c r="F2909" s="46" t="s">
        <v>66</v>
      </c>
    </row>
    <row r="2910" spans="5:6" x14ac:dyDescent="0.3">
      <c r="E2910" s="38" t="s">
        <v>311</v>
      </c>
      <c r="F2910" s="45" t="s">
        <v>66</v>
      </c>
    </row>
    <row r="2911" spans="5:6" x14ac:dyDescent="0.3">
      <c r="E2911" s="39" t="s">
        <v>1674</v>
      </c>
      <c r="F2911" s="46" t="s">
        <v>66</v>
      </c>
    </row>
    <row r="2912" spans="5:6" x14ac:dyDescent="0.3">
      <c r="E2912" s="38" t="s">
        <v>1923</v>
      </c>
      <c r="F2912" s="45" t="s">
        <v>66</v>
      </c>
    </row>
    <row r="2913" spans="5:6" x14ac:dyDescent="0.3">
      <c r="E2913" s="39" t="s">
        <v>1996</v>
      </c>
      <c r="F2913" s="46" t="s">
        <v>66</v>
      </c>
    </row>
    <row r="2914" spans="5:6" x14ac:dyDescent="0.3">
      <c r="E2914" s="38" t="s">
        <v>1064</v>
      </c>
      <c r="F2914" s="45" t="s">
        <v>66</v>
      </c>
    </row>
    <row r="2915" spans="5:6" x14ac:dyDescent="0.3">
      <c r="E2915" s="39" t="s">
        <v>1997</v>
      </c>
      <c r="F2915" s="46" t="s">
        <v>66</v>
      </c>
    </row>
    <row r="2916" spans="5:6" x14ac:dyDescent="0.3">
      <c r="E2916" s="38" t="s">
        <v>1998</v>
      </c>
      <c r="F2916" s="45" t="s">
        <v>66</v>
      </c>
    </row>
    <row r="2917" spans="5:6" x14ac:dyDescent="0.3">
      <c r="E2917" s="39" t="s">
        <v>1999</v>
      </c>
      <c r="F2917" s="46" t="s">
        <v>66</v>
      </c>
    </row>
    <row r="2918" spans="5:6" x14ac:dyDescent="0.3">
      <c r="E2918" s="38" t="s">
        <v>2000</v>
      </c>
      <c r="F2918" s="45" t="s">
        <v>66</v>
      </c>
    </row>
    <row r="2919" spans="5:6" x14ac:dyDescent="0.3">
      <c r="E2919" s="39" t="s">
        <v>2001</v>
      </c>
      <c r="F2919" s="46" t="s">
        <v>66</v>
      </c>
    </row>
    <row r="2920" spans="5:6" x14ac:dyDescent="0.3">
      <c r="E2920" s="38" t="s">
        <v>2002</v>
      </c>
      <c r="F2920" s="45" t="s">
        <v>66</v>
      </c>
    </row>
    <row r="2921" spans="5:6" x14ac:dyDescent="0.3">
      <c r="E2921" s="39" t="s">
        <v>2003</v>
      </c>
      <c r="F2921" s="46" t="s">
        <v>66</v>
      </c>
    </row>
    <row r="2922" spans="5:6" x14ac:dyDescent="0.3">
      <c r="E2922" s="38" t="s">
        <v>2004</v>
      </c>
      <c r="F2922" s="45" t="s">
        <v>66</v>
      </c>
    </row>
    <row r="2923" spans="5:6" x14ac:dyDescent="0.3">
      <c r="E2923" s="39" t="s">
        <v>2005</v>
      </c>
      <c r="F2923" s="46" t="s">
        <v>66</v>
      </c>
    </row>
    <row r="2924" spans="5:6" x14ac:dyDescent="0.3">
      <c r="E2924" s="38" t="s">
        <v>2006</v>
      </c>
      <c r="F2924" s="45" t="s">
        <v>66</v>
      </c>
    </row>
    <row r="2925" spans="5:6" x14ac:dyDescent="0.3">
      <c r="E2925" s="39" t="s">
        <v>2007</v>
      </c>
      <c r="F2925" s="46" t="s">
        <v>66</v>
      </c>
    </row>
    <row r="2926" spans="5:6" x14ac:dyDescent="0.3">
      <c r="E2926" s="38" t="s">
        <v>2008</v>
      </c>
      <c r="F2926" s="45" t="s">
        <v>66</v>
      </c>
    </row>
    <row r="2927" spans="5:6" x14ac:dyDescent="0.3">
      <c r="E2927" s="39" t="s">
        <v>2009</v>
      </c>
      <c r="F2927" s="46" t="s">
        <v>66</v>
      </c>
    </row>
    <row r="2928" spans="5:6" x14ac:dyDescent="0.3">
      <c r="E2928" s="38" t="s">
        <v>2010</v>
      </c>
      <c r="F2928" s="45" t="s">
        <v>66</v>
      </c>
    </row>
    <row r="2929" spans="5:6" x14ac:dyDescent="0.3">
      <c r="E2929" s="39" t="s">
        <v>2011</v>
      </c>
      <c r="F2929" s="46" t="s">
        <v>66</v>
      </c>
    </row>
    <row r="2930" spans="5:6" x14ac:dyDescent="0.3">
      <c r="E2930" s="38" t="s">
        <v>2012</v>
      </c>
      <c r="F2930" s="45" t="s">
        <v>66</v>
      </c>
    </row>
    <row r="2931" spans="5:6" x14ac:dyDescent="0.3">
      <c r="E2931" s="39" t="s">
        <v>2013</v>
      </c>
      <c r="F2931" s="46" t="s">
        <v>66</v>
      </c>
    </row>
    <row r="2932" spans="5:6" x14ac:dyDescent="0.3">
      <c r="E2932" s="38" t="s">
        <v>2014</v>
      </c>
      <c r="F2932" s="45" t="s">
        <v>66</v>
      </c>
    </row>
    <row r="2933" spans="5:6" x14ac:dyDescent="0.3">
      <c r="E2933" s="39" t="s">
        <v>2015</v>
      </c>
      <c r="F2933" s="46" t="s">
        <v>66</v>
      </c>
    </row>
    <row r="2934" spans="5:6" x14ac:dyDescent="0.3">
      <c r="E2934" s="38" t="s">
        <v>2016</v>
      </c>
      <c r="F2934" s="45" t="s">
        <v>66</v>
      </c>
    </row>
    <row r="2935" spans="5:6" x14ac:dyDescent="0.3">
      <c r="E2935" s="39" t="s">
        <v>2017</v>
      </c>
      <c r="F2935" s="46" t="s">
        <v>66</v>
      </c>
    </row>
    <row r="2936" spans="5:6" x14ac:dyDescent="0.3">
      <c r="E2936" s="38" t="s">
        <v>2018</v>
      </c>
      <c r="F2936" s="45" t="s">
        <v>66</v>
      </c>
    </row>
    <row r="2937" spans="5:6" x14ac:dyDescent="0.3">
      <c r="E2937" s="39" t="s">
        <v>2019</v>
      </c>
      <c r="F2937" s="46" t="s">
        <v>66</v>
      </c>
    </row>
    <row r="2938" spans="5:6" x14ac:dyDescent="0.3">
      <c r="E2938" s="38" t="s">
        <v>2020</v>
      </c>
      <c r="F2938" s="45" t="s">
        <v>66</v>
      </c>
    </row>
    <row r="2939" spans="5:6" x14ac:dyDescent="0.3">
      <c r="E2939" s="39" t="s">
        <v>2021</v>
      </c>
      <c r="F2939" s="46" t="s">
        <v>66</v>
      </c>
    </row>
    <row r="2940" spans="5:6" x14ac:dyDescent="0.3">
      <c r="E2940" s="38" t="s">
        <v>2022</v>
      </c>
      <c r="F2940" s="45" t="s">
        <v>66</v>
      </c>
    </row>
    <row r="2941" spans="5:6" x14ac:dyDescent="0.3">
      <c r="E2941" s="39" t="s">
        <v>2023</v>
      </c>
      <c r="F2941" s="46" t="s">
        <v>66</v>
      </c>
    </row>
    <row r="2942" spans="5:6" x14ac:dyDescent="0.3">
      <c r="E2942" s="38" t="s">
        <v>2024</v>
      </c>
      <c r="F2942" s="45" t="s">
        <v>66</v>
      </c>
    </row>
    <row r="2943" spans="5:6" x14ac:dyDescent="0.3">
      <c r="E2943" s="39" t="s">
        <v>2025</v>
      </c>
      <c r="F2943" s="46" t="s">
        <v>66</v>
      </c>
    </row>
    <row r="2944" spans="5:6" x14ac:dyDescent="0.3">
      <c r="E2944" s="38" t="s">
        <v>2026</v>
      </c>
      <c r="F2944" s="45" t="s">
        <v>66</v>
      </c>
    </row>
    <row r="2945" spans="5:6" x14ac:dyDescent="0.3">
      <c r="E2945" s="39" t="s">
        <v>2027</v>
      </c>
      <c r="F2945" s="46" t="s">
        <v>66</v>
      </c>
    </row>
    <row r="2946" spans="5:6" x14ac:dyDescent="0.3">
      <c r="E2946" s="38" t="s">
        <v>2028</v>
      </c>
      <c r="F2946" s="45" t="s">
        <v>66</v>
      </c>
    </row>
    <row r="2947" spans="5:6" x14ac:dyDescent="0.3">
      <c r="E2947" s="39" t="s">
        <v>2029</v>
      </c>
      <c r="F2947" s="46" t="s">
        <v>66</v>
      </c>
    </row>
    <row r="2948" spans="5:6" x14ac:dyDescent="0.3">
      <c r="E2948" s="38" t="s">
        <v>2030</v>
      </c>
      <c r="F2948" s="45" t="s">
        <v>66</v>
      </c>
    </row>
    <row r="2949" spans="5:6" x14ac:dyDescent="0.3">
      <c r="E2949" s="39" t="s">
        <v>2031</v>
      </c>
      <c r="F2949" s="46" t="s">
        <v>66</v>
      </c>
    </row>
    <row r="2950" spans="5:6" x14ac:dyDescent="0.3">
      <c r="E2950" s="38" t="s">
        <v>2032</v>
      </c>
      <c r="F2950" s="45" t="s">
        <v>66</v>
      </c>
    </row>
    <row r="2951" spans="5:6" x14ac:dyDescent="0.3">
      <c r="E2951" s="39" t="s">
        <v>2033</v>
      </c>
      <c r="F2951" s="46" t="s">
        <v>66</v>
      </c>
    </row>
    <row r="2952" spans="5:6" x14ac:dyDescent="0.3">
      <c r="E2952" s="38" t="s">
        <v>2034</v>
      </c>
      <c r="F2952" s="45" t="s">
        <v>66</v>
      </c>
    </row>
    <row r="2953" spans="5:6" x14ac:dyDescent="0.3">
      <c r="E2953" s="39" t="s">
        <v>2035</v>
      </c>
      <c r="F2953" s="46" t="s">
        <v>66</v>
      </c>
    </row>
    <row r="2954" spans="5:6" x14ac:dyDescent="0.3">
      <c r="E2954" s="38" t="s">
        <v>2036</v>
      </c>
      <c r="F2954" s="45" t="s">
        <v>66</v>
      </c>
    </row>
    <row r="2955" spans="5:6" x14ac:dyDescent="0.3">
      <c r="E2955" s="39" t="s">
        <v>2037</v>
      </c>
      <c r="F2955" s="46" t="s">
        <v>66</v>
      </c>
    </row>
    <row r="2956" spans="5:6" x14ac:dyDescent="0.3">
      <c r="E2956" s="38" t="s">
        <v>467</v>
      </c>
      <c r="F2956" s="45" t="s">
        <v>65</v>
      </c>
    </row>
    <row r="2957" spans="5:6" x14ac:dyDescent="0.3">
      <c r="E2957" s="39" t="s">
        <v>2038</v>
      </c>
      <c r="F2957" s="46" t="s">
        <v>65</v>
      </c>
    </row>
    <row r="2958" spans="5:6" x14ac:dyDescent="0.3">
      <c r="E2958" s="38" t="s">
        <v>357</v>
      </c>
      <c r="F2958" s="45" t="s">
        <v>65</v>
      </c>
    </row>
    <row r="2959" spans="5:6" x14ac:dyDescent="0.3">
      <c r="E2959" s="39" t="s">
        <v>2039</v>
      </c>
      <c r="F2959" s="46" t="s">
        <v>65</v>
      </c>
    </row>
    <row r="2960" spans="5:6" x14ac:dyDescent="0.3">
      <c r="E2960" s="38" t="s">
        <v>2040</v>
      </c>
      <c r="F2960" s="45" t="s">
        <v>65</v>
      </c>
    </row>
    <row r="2961" spans="5:6" x14ac:dyDescent="0.3">
      <c r="E2961" s="39" t="s">
        <v>362</v>
      </c>
      <c r="F2961" s="46" t="s">
        <v>65</v>
      </c>
    </row>
    <row r="2962" spans="5:6" x14ac:dyDescent="0.3">
      <c r="E2962" s="38" t="s">
        <v>364</v>
      </c>
      <c r="F2962" s="45" t="s">
        <v>65</v>
      </c>
    </row>
    <row r="2963" spans="5:6" x14ac:dyDescent="0.3">
      <c r="E2963" s="39" t="s">
        <v>2041</v>
      </c>
      <c r="F2963" s="46" t="s">
        <v>65</v>
      </c>
    </row>
    <row r="2964" spans="5:6" x14ac:dyDescent="0.3">
      <c r="E2964" s="38" t="s">
        <v>484</v>
      </c>
      <c r="F2964" s="45" t="s">
        <v>65</v>
      </c>
    </row>
    <row r="2965" spans="5:6" x14ac:dyDescent="0.3">
      <c r="E2965" s="39" t="s">
        <v>2042</v>
      </c>
      <c r="F2965" s="46" t="s">
        <v>65</v>
      </c>
    </row>
    <row r="2966" spans="5:6" x14ac:dyDescent="0.3">
      <c r="E2966" s="38" t="s">
        <v>276</v>
      </c>
      <c r="F2966" s="45" t="s">
        <v>65</v>
      </c>
    </row>
    <row r="2967" spans="5:6" x14ac:dyDescent="0.3">
      <c r="E2967" s="39" t="s">
        <v>489</v>
      </c>
      <c r="F2967" s="46" t="s">
        <v>65</v>
      </c>
    </row>
    <row r="2968" spans="5:6" x14ac:dyDescent="0.3">
      <c r="E2968" s="38" t="s">
        <v>375</v>
      </c>
      <c r="F2968" s="45" t="s">
        <v>65</v>
      </c>
    </row>
    <row r="2969" spans="5:6" x14ac:dyDescent="0.3">
      <c r="E2969" s="39" t="s">
        <v>2043</v>
      </c>
      <c r="F2969" s="46" t="s">
        <v>65</v>
      </c>
    </row>
    <row r="2970" spans="5:6" x14ac:dyDescent="0.3">
      <c r="E2970" s="38" t="s">
        <v>2044</v>
      </c>
      <c r="F2970" s="45" t="s">
        <v>65</v>
      </c>
    </row>
    <row r="2971" spans="5:6" x14ac:dyDescent="0.3">
      <c r="E2971" s="39" t="s">
        <v>283</v>
      </c>
      <c r="F2971" s="46" t="s">
        <v>65</v>
      </c>
    </row>
    <row r="2972" spans="5:6" x14ac:dyDescent="0.3">
      <c r="E2972" s="38" t="s">
        <v>1850</v>
      </c>
      <c r="F2972" s="45" t="s">
        <v>65</v>
      </c>
    </row>
    <row r="2973" spans="5:6" x14ac:dyDescent="0.3">
      <c r="E2973" s="39" t="s">
        <v>2045</v>
      </c>
      <c r="F2973" s="46" t="s">
        <v>65</v>
      </c>
    </row>
    <row r="2974" spans="5:6" x14ac:dyDescent="0.3">
      <c r="E2974" s="38" t="s">
        <v>2046</v>
      </c>
      <c r="F2974" s="45" t="s">
        <v>65</v>
      </c>
    </row>
    <row r="2975" spans="5:6" x14ac:dyDescent="0.3">
      <c r="E2975" s="39" t="s">
        <v>2047</v>
      </c>
      <c r="F2975" s="46" t="s">
        <v>65</v>
      </c>
    </row>
    <row r="2976" spans="5:6" x14ac:dyDescent="0.3">
      <c r="E2976" s="38" t="s">
        <v>718</v>
      </c>
      <c r="F2976" s="45" t="s">
        <v>65</v>
      </c>
    </row>
    <row r="2977" spans="5:6" x14ac:dyDescent="0.3">
      <c r="E2977" s="39" t="s">
        <v>383</v>
      </c>
      <c r="F2977" s="46" t="s">
        <v>65</v>
      </c>
    </row>
    <row r="2978" spans="5:6" x14ac:dyDescent="0.3">
      <c r="E2978" s="38" t="s">
        <v>761</v>
      </c>
      <c r="F2978" s="45" t="s">
        <v>65</v>
      </c>
    </row>
    <row r="2979" spans="5:6" x14ac:dyDescent="0.3">
      <c r="E2979" s="39" t="s">
        <v>2048</v>
      </c>
      <c r="F2979" s="46" t="s">
        <v>65</v>
      </c>
    </row>
    <row r="2980" spans="5:6" x14ac:dyDescent="0.3">
      <c r="E2980" s="38" t="s">
        <v>2049</v>
      </c>
      <c r="F2980" s="45" t="s">
        <v>65</v>
      </c>
    </row>
    <row r="2981" spans="5:6" x14ac:dyDescent="0.3">
      <c r="E2981" s="39" t="s">
        <v>2050</v>
      </c>
      <c r="F2981" s="46" t="s">
        <v>65</v>
      </c>
    </row>
    <row r="2982" spans="5:6" x14ac:dyDescent="0.3">
      <c r="E2982" s="38" t="s">
        <v>658</v>
      </c>
      <c r="F2982" s="45" t="s">
        <v>65</v>
      </c>
    </row>
    <row r="2983" spans="5:6" x14ac:dyDescent="0.3">
      <c r="E2983" s="39" t="s">
        <v>515</v>
      </c>
      <c r="F2983" s="46" t="s">
        <v>65</v>
      </c>
    </row>
    <row r="2984" spans="5:6" x14ac:dyDescent="0.3">
      <c r="E2984" s="38" t="s">
        <v>2051</v>
      </c>
      <c r="F2984" s="45" t="s">
        <v>65</v>
      </c>
    </row>
    <row r="2985" spans="5:6" x14ac:dyDescent="0.3">
      <c r="E2985" s="39" t="s">
        <v>2052</v>
      </c>
      <c r="F2985" s="46" t="s">
        <v>65</v>
      </c>
    </row>
    <row r="2986" spans="5:6" x14ac:dyDescent="0.3">
      <c r="E2986" s="38" t="s">
        <v>2053</v>
      </c>
      <c r="F2986" s="45" t="s">
        <v>65</v>
      </c>
    </row>
    <row r="2987" spans="5:6" x14ac:dyDescent="0.3">
      <c r="E2987" s="39" t="s">
        <v>2054</v>
      </c>
      <c r="F2987" s="46" t="s">
        <v>65</v>
      </c>
    </row>
    <row r="2988" spans="5:6" x14ac:dyDescent="0.3">
      <c r="E2988" s="38" t="s">
        <v>927</v>
      </c>
      <c r="F2988" s="45" t="s">
        <v>65</v>
      </c>
    </row>
    <row r="2989" spans="5:6" x14ac:dyDescent="0.3">
      <c r="E2989" s="39" t="s">
        <v>1369</v>
      </c>
      <c r="F2989" s="46" t="s">
        <v>65</v>
      </c>
    </row>
    <row r="2990" spans="5:6" x14ac:dyDescent="0.3">
      <c r="E2990" s="38" t="s">
        <v>2055</v>
      </c>
      <c r="F2990" s="45" t="s">
        <v>65</v>
      </c>
    </row>
    <row r="2991" spans="5:6" x14ac:dyDescent="0.3">
      <c r="E2991" s="39" t="s">
        <v>2056</v>
      </c>
      <c r="F2991" s="46" t="s">
        <v>65</v>
      </c>
    </row>
    <row r="2992" spans="5:6" x14ac:dyDescent="0.3">
      <c r="E2992" s="38" t="s">
        <v>2057</v>
      </c>
      <c r="F2992" s="45" t="s">
        <v>65</v>
      </c>
    </row>
    <row r="2993" spans="5:6" x14ac:dyDescent="0.3">
      <c r="E2993" s="39" t="s">
        <v>2058</v>
      </c>
      <c r="F2993" s="46" t="s">
        <v>65</v>
      </c>
    </row>
    <row r="2994" spans="5:6" x14ac:dyDescent="0.3">
      <c r="E2994" s="38" t="s">
        <v>2059</v>
      </c>
      <c r="F2994" s="45" t="s">
        <v>65</v>
      </c>
    </row>
    <row r="2995" spans="5:6" x14ac:dyDescent="0.3">
      <c r="E2995" s="39" t="s">
        <v>249</v>
      </c>
      <c r="F2995" s="46" t="s">
        <v>64</v>
      </c>
    </row>
    <row r="2996" spans="5:6" x14ac:dyDescent="0.3">
      <c r="E2996" s="38" t="s">
        <v>1682</v>
      </c>
      <c r="F2996" s="45" t="s">
        <v>64</v>
      </c>
    </row>
    <row r="2997" spans="5:6" x14ac:dyDescent="0.3">
      <c r="E2997" s="39" t="s">
        <v>358</v>
      </c>
      <c r="F2997" s="46" t="s">
        <v>64</v>
      </c>
    </row>
    <row r="2998" spans="5:6" x14ac:dyDescent="0.3">
      <c r="E2998" s="38" t="s">
        <v>2060</v>
      </c>
      <c r="F2998" s="45" t="s">
        <v>64</v>
      </c>
    </row>
    <row r="2999" spans="5:6" x14ac:dyDescent="0.3">
      <c r="E2999" s="39" t="s">
        <v>2061</v>
      </c>
      <c r="F2999" s="46" t="s">
        <v>64</v>
      </c>
    </row>
    <row r="3000" spans="5:6" x14ac:dyDescent="0.3">
      <c r="E3000" s="38" t="s">
        <v>2062</v>
      </c>
      <c r="F3000" s="45" t="s">
        <v>64</v>
      </c>
    </row>
    <row r="3001" spans="5:6" x14ac:dyDescent="0.3">
      <c r="E3001" s="39" t="s">
        <v>254</v>
      </c>
      <c r="F3001" s="46" t="s">
        <v>64</v>
      </c>
    </row>
    <row r="3002" spans="5:6" x14ac:dyDescent="0.3">
      <c r="E3002" s="38" t="s">
        <v>260</v>
      </c>
      <c r="F3002" s="45" t="s">
        <v>64</v>
      </c>
    </row>
    <row r="3003" spans="5:6" x14ac:dyDescent="0.3">
      <c r="E3003" s="39" t="s">
        <v>2063</v>
      </c>
      <c r="F3003" s="46" t="s">
        <v>64</v>
      </c>
    </row>
    <row r="3004" spans="5:6" x14ac:dyDescent="0.3">
      <c r="E3004" s="38" t="s">
        <v>275</v>
      </c>
      <c r="F3004" s="45" t="s">
        <v>64</v>
      </c>
    </row>
    <row r="3005" spans="5:6" x14ac:dyDescent="0.3">
      <c r="E3005" s="39" t="s">
        <v>626</v>
      </c>
      <c r="F3005" s="46" t="s">
        <v>64</v>
      </c>
    </row>
    <row r="3006" spans="5:6" x14ac:dyDescent="0.3">
      <c r="E3006" s="38" t="s">
        <v>375</v>
      </c>
      <c r="F3006" s="45" t="s">
        <v>64</v>
      </c>
    </row>
    <row r="3007" spans="5:6" x14ac:dyDescent="0.3">
      <c r="E3007" s="39" t="s">
        <v>2064</v>
      </c>
      <c r="F3007" s="46" t="s">
        <v>64</v>
      </c>
    </row>
    <row r="3008" spans="5:6" x14ac:dyDescent="0.3">
      <c r="E3008" s="38" t="s">
        <v>1088</v>
      </c>
      <c r="F3008" s="45" t="s">
        <v>64</v>
      </c>
    </row>
    <row r="3009" spans="5:6" x14ac:dyDescent="0.3">
      <c r="E3009" s="39" t="s">
        <v>634</v>
      </c>
      <c r="F3009" s="46" t="s">
        <v>64</v>
      </c>
    </row>
    <row r="3010" spans="5:6" x14ac:dyDescent="0.3">
      <c r="E3010" s="38" t="s">
        <v>2065</v>
      </c>
      <c r="F3010" s="45" t="s">
        <v>64</v>
      </c>
    </row>
    <row r="3011" spans="5:6" x14ac:dyDescent="0.3">
      <c r="E3011" s="39" t="s">
        <v>793</v>
      </c>
      <c r="F3011" s="46" t="s">
        <v>64</v>
      </c>
    </row>
    <row r="3012" spans="5:6" x14ac:dyDescent="0.3">
      <c r="E3012" s="38" t="s">
        <v>282</v>
      </c>
      <c r="F3012" s="45" t="s">
        <v>64</v>
      </c>
    </row>
    <row r="3013" spans="5:6" x14ac:dyDescent="0.3">
      <c r="E3013" s="39" t="s">
        <v>283</v>
      </c>
      <c r="F3013" s="46" t="s">
        <v>64</v>
      </c>
    </row>
    <row r="3014" spans="5:6" x14ac:dyDescent="0.3">
      <c r="E3014" s="38" t="s">
        <v>2066</v>
      </c>
      <c r="F3014" s="45" t="s">
        <v>64</v>
      </c>
    </row>
    <row r="3015" spans="5:6" x14ac:dyDescent="0.3">
      <c r="E3015" s="39" t="s">
        <v>718</v>
      </c>
      <c r="F3015" s="46" t="s">
        <v>64</v>
      </c>
    </row>
    <row r="3016" spans="5:6" x14ac:dyDescent="0.3">
      <c r="E3016" s="38" t="s">
        <v>383</v>
      </c>
      <c r="F3016" s="45" t="s">
        <v>64</v>
      </c>
    </row>
    <row r="3017" spans="5:6" x14ac:dyDescent="0.3">
      <c r="E3017" s="39" t="s">
        <v>385</v>
      </c>
      <c r="F3017" s="46" t="s">
        <v>64</v>
      </c>
    </row>
    <row r="3018" spans="5:6" x14ac:dyDescent="0.3">
      <c r="E3018" s="38" t="s">
        <v>1491</v>
      </c>
      <c r="F3018" s="45" t="s">
        <v>64</v>
      </c>
    </row>
    <row r="3019" spans="5:6" x14ac:dyDescent="0.3">
      <c r="E3019" s="39" t="s">
        <v>293</v>
      </c>
      <c r="F3019" s="46" t="s">
        <v>64</v>
      </c>
    </row>
    <row r="3020" spans="5:6" x14ac:dyDescent="0.3">
      <c r="E3020" s="38" t="s">
        <v>294</v>
      </c>
      <c r="F3020" s="45" t="s">
        <v>64</v>
      </c>
    </row>
    <row r="3021" spans="5:6" x14ac:dyDescent="0.3">
      <c r="E3021" s="39" t="s">
        <v>761</v>
      </c>
      <c r="F3021" s="46" t="s">
        <v>64</v>
      </c>
    </row>
    <row r="3022" spans="5:6" x14ac:dyDescent="0.3">
      <c r="E3022" s="38" t="s">
        <v>764</v>
      </c>
      <c r="F3022" s="45" t="s">
        <v>64</v>
      </c>
    </row>
    <row r="3023" spans="5:6" x14ac:dyDescent="0.3">
      <c r="E3023" s="39" t="s">
        <v>501</v>
      </c>
      <c r="F3023" s="46" t="s">
        <v>64</v>
      </c>
    </row>
    <row r="3024" spans="5:6" x14ac:dyDescent="0.3">
      <c r="E3024" s="38" t="s">
        <v>2067</v>
      </c>
      <c r="F3024" s="45" t="s">
        <v>64</v>
      </c>
    </row>
    <row r="3025" spans="5:6" x14ac:dyDescent="0.3">
      <c r="E3025" s="39" t="s">
        <v>2068</v>
      </c>
      <c r="F3025" s="46" t="s">
        <v>64</v>
      </c>
    </row>
    <row r="3026" spans="5:6" x14ac:dyDescent="0.3">
      <c r="E3026" s="38" t="s">
        <v>296</v>
      </c>
      <c r="F3026" s="45" t="s">
        <v>64</v>
      </c>
    </row>
    <row r="3027" spans="5:6" x14ac:dyDescent="0.3">
      <c r="E3027" s="39" t="s">
        <v>298</v>
      </c>
      <c r="F3027" s="46" t="s">
        <v>64</v>
      </c>
    </row>
    <row r="3028" spans="5:6" x14ac:dyDescent="0.3">
      <c r="E3028" s="38" t="s">
        <v>978</v>
      </c>
      <c r="F3028" s="45" t="s">
        <v>64</v>
      </c>
    </row>
    <row r="3029" spans="5:6" x14ac:dyDescent="0.3">
      <c r="E3029" s="39" t="s">
        <v>803</v>
      </c>
      <c r="F3029" s="46" t="s">
        <v>64</v>
      </c>
    </row>
    <row r="3030" spans="5:6" x14ac:dyDescent="0.3">
      <c r="E3030" s="38" t="s">
        <v>981</v>
      </c>
      <c r="F3030" s="45" t="s">
        <v>64</v>
      </c>
    </row>
    <row r="3031" spans="5:6" x14ac:dyDescent="0.3">
      <c r="E3031" s="39" t="s">
        <v>2069</v>
      </c>
      <c r="F3031" s="46" t="s">
        <v>64</v>
      </c>
    </row>
    <row r="3032" spans="5:6" x14ac:dyDescent="0.3">
      <c r="E3032" s="38" t="s">
        <v>857</v>
      </c>
      <c r="F3032" s="45" t="s">
        <v>64</v>
      </c>
    </row>
    <row r="3033" spans="5:6" x14ac:dyDescent="0.3">
      <c r="E3033" s="39" t="s">
        <v>2070</v>
      </c>
      <c r="F3033" s="46" t="s">
        <v>64</v>
      </c>
    </row>
    <row r="3034" spans="5:6" x14ac:dyDescent="0.3">
      <c r="E3034" s="38" t="s">
        <v>572</v>
      </c>
      <c r="F3034" s="45" t="s">
        <v>64</v>
      </c>
    </row>
    <row r="3035" spans="5:6" x14ac:dyDescent="0.3">
      <c r="E3035" s="39" t="s">
        <v>2071</v>
      </c>
      <c r="F3035" s="46" t="s">
        <v>64</v>
      </c>
    </row>
    <row r="3036" spans="5:6" x14ac:dyDescent="0.3">
      <c r="E3036" s="38" t="s">
        <v>302</v>
      </c>
      <c r="F3036" s="45" t="s">
        <v>64</v>
      </c>
    </row>
    <row r="3037" spans="5:6" x14ac:dyDescent="0.3">
      <c r="E3037" s="39" t="s">
        <v>2072</v>
      </c>
      <c r="F3037" s="46" t="s">
        <v>64</v>
      </c>
    </row>
    <row r="3038" spans="5:6" x14ac:dyDescent="0.3">
      <c r="E3038" s="38" t="s">
        <v>1762</v>
      </c>
      <c r="F3038" s="45" t="s">
        <v>64</v>
      </c>
    </row>
    <row r="3039" spans="5:6" x14ac:dyDescent="0.3">
      <c r="E3039" s="39" t="s">
        <v>2073</v>
      </c>
      <c r="F3039" s="46" t="s">
        <v>64</v>
      </c>
    </row>
    <row r="3040" spans="5:6" x14ac:dyDescent="0.3">
      <c r="E3040" s="38" t="s">
        <v>579</v>
      </c>
      <c r="F3040" s="45" t="s">
        <v>64</v>
      </c>
    </row>
    <row r="3041" spans="5:6" x14ac:dyDescent="0.3">
      <c r="E3041" s="39" t="s">
        <v>2074</v>
      </c>
      <c r="F3041" s="46" t="s">
        <v>64</v>
      </c>
    </row>
    <row r="3042" spans="5:6" x14ac:dyDescent="0.3">
      <c r="E3042" s="38" t="s">
        <v>1910</v>
      </c>
      <c r="F3042" s="45" t="s">
        <v>64</v>
      </c>
    </row>
    <row r="3043" spans="5:6" x14ac:dyDescent="0.3">
      <c r="E3043" s="39" t="s">
        <v>1911</v>
      </c>
      <c r="F3043" s="46" t="s">
        <v>64</v>
      </c>
    </row>
    <row r="3044" spans="5:6" x14ac:dyDescent="0.3">
      <c r="E3044" s="38" t="s">
        <v>684</v>
      </c>
      <c r="F3044" s="45" t="s">
        <v>64</v>
      </c>
    </row>
    <row r="3045" spans="5:6" x14ac:dyDescent="0.3">
      <c r="E3045" s="39" t="s">
        <v>685</v>
      </c>
      <c r="F3045" s="46" t="s">
        <v>64</v>
      </c>
    </row>
    <row r="3046" spans="5:6" x14ac:dyDescent="0.3">
      <c r="E3046" s="38" t="s">
        <v>2075</v>
      </c>
      <c r="F3046" s="45" t="s">
        <v>64</v>
      </c>
    </row>
    <row r="3047" spans="5:6" x14ac:dyDescent="0.3">
      <c r="E3047" s="39" t="s">
        <v>2076</v>
      </c>
      <c r="F3047" s="46" t="s">
        <v>64</v>
      </c>
    </row>
    <row r="3048" spans="5:6" x14ac:dyDescent="0.3">
      <c r="E3048" s="38" t="s">
        <v>1582</v>
      </c>
      <c r="F3048" s="45" t="s">
        <v>64</v>
      </c>
    </row>
    <row r="3049" spans="5:6" x14ac:dyDescent="0.3">
      <c r="E3049" s="39" t="s">
        <v>1452</v>
      </c>
      <c r="F3049" s="46" t="s">
        <v>64</v>
      </c>
    </row>
    <row r="3050" spans="5:6" x14ac:dyDescent="0.3">
      <c r="E3050" s="38" t="s">
        <v>467</v>
      </c>
      <c r="F3050" s="45" t="s">
        <v>63</v>
      </c>
    </row>
    <row r="3051" spans="5:6" x14ac:dyDescent="0.3">
      <c r="E3051" s="39" t="s">
        <v>1549</v>
      </c>
      <c r="F3051" s="46" t="s">
        <v>63</v>
      </c>
    </row>
    <row r="3052" spans="5:6" x14ac:dyDescent="0.3">
      <c r="E3052" s="38" t="s">
        <v>2077</v>
      </c>
      <c r="F3052" s="45" t="s">
        <v>63</v>
      </c>
    </row>
    <row r="3053" spans="5:6" x14ac:dyDescent="0.3">
      <c r="E3053" s="39" t="s">
        <v>2078</v>
      </c>
      <c r="F3053" s="46" t="s">
        <v>63</v>
      </c>
    </row>
    <row r="3054" spans="5:6" x14ac:dyDescent="0.3">
      <c r="E3054" s="38" t="s">
        <v>731</v>
      </c>
      <c r="F3054" s="45" t="s">
        <v>63</v>
      </c>
    </row>
    <row r="3055" spans="5:6" x14ac:dyDescent="0.3">
      <c r="E3055" s="39" t="s">
        <v>1334</v>
      </c>
      <c r="F3055" s="46" t="s">
        <v>63</v>
      </c>
    </row>
    <row r="3056" spans="5:6" x14ac:dyDescent="0.3">
      <c r="E3056" s="38" t="s">
        <v>2079</v>
      </c>
      <c r="F3056" s="45" t="s">
        <v>63</v>
      </c>
    </row>
    <row r="3057" spans="5:6" x14ac:dyDescent="0.3">
      <c r="E3057" s="39" t="s">
        <v>2080</v>
      </c>
      <c r="F3057" s="46" t="s">
        <v>63</v>
      </c>
    </row>
    <row r="3058" spans="5:6" x14ac:dyDescent="0.3">
      <c r="E3058" s="38" t="s">
        <v>1104</v>
      </c>
      <c r="F3058" s="45" t="s">
        <v>63</v>
      </c>
    </row>
    <row r="3059" spans="5:6" x14ac:dyDescent="0.3">
      <c r="E3059" s="39" t="s">
        <v>362</v>
      </c>
      <c r="F3059" s="46" t="s">
        <v>63</v>
      </c>
    </row>
    <row r="3060" spans="5:6" x14ac:dyDescent="0.3">
      <c r="E3060" s="38" t="s">
        <v>364</v>
      </c>
      <c r="F3060" s="45" t="s">
        <v>63</v>
      </c>
    </row>
    <row r="3061" spans="5:6" x14ac:dyDescent="0.3">
      <c r="E3061" s="39" t="s">
        <v>367</v>
      </c>
      <c r="F3061" s="46" t="s">
        <v>63</v>
      </c>
    </row>
    <row r="3062" spans="5:6" x14ac:dyDescent="0.3">
      <c r="E3062" s="38" t="s">
        <v>2081</v>
      </c>
      <c r="F3062" s="45" t="s">
        <v>63</v>
      </c>
    </row>
    <row r="3063" spans="5:6" x14ac:dyDescent="0.3">
      <c r="E3063" s="39" t="s">
        <v>615</v>
      </c>
      <c r="F3063" s="46" t="s">
        <v>63</v>
      </c>
    </row>
    <row r="3064" spans="5:6" x14ac:dyDescent="0.3">
      <c r="E3064" s="38" t="s">
        <v>2082</v>
      </c>
      <c r="F3064" s="45" t="s">
        <v>63</v>
      </c>
    </row>
    <row r="3065" spans="5:6" x14ac:dyDescent="0.3">
      <c r="E3065" s="39" t="s">
        <v>484</v>
      </c>
      <c r="F3065" s="46" t="s">
        <v>63</v>
      </c>
    </row>
    <row r="3066" spans="5:6" x14ac:dyDescent="0.3">
      <c r="E3066" s="38" t="s">
        <v>1527</v>
      </c>
      <c r="F3066" s="45" t="s">
        <v>63</v>
      </c>
    </row>
    <row r="3067" spans="5:6" x14ac:dyDescent="0.3">
      <c r="E3067" s="39" t="s">
        <v>2083</v>
      </c>
      <c r="F3067" s="46" t="s">
        <v>63</v>
      </c>
    </row>
    <row r="3068" spans="5:6" x14ac:dyDescent="0.3">
      <c r="E3068" s="38" t="s">
        <v>1690</v>
      </c>
      <c r="F3068" s="45" t="s">
        <v>63</v>
      </c>
    </row>
    <row r="3069" spans="5:6" x14ac:dyDescent="0.3">
      <c r="E3069" s="39" t="s">
        <v>2084</v>
      </c>
      <c r="F3069" s="46" t="s">
        <v>63</v>
      </c>
    </row>
    <row r="3070" spans="5:6" x14ac:dyDescent="0.3">
      <c r="E3070" s="38" t="s">
        <v>1655</v>
      </c>
      <c r="F3070" s="45" t="s">
        <v>63</v>
      </c>
    </row>
    <row r="3071" spans="5:6" x14ac:dyDescent="0.3">
      <c r="E3071" s="39" t="s">
        <v>375</v>
      </c>
      <c r="F3071" s="46" t="s">
        <v>63</v>
      </c>
    </row>
    <row r="3072" spans="5:6" x14ac:dyDescent="0.3">
      <c r="E3072" s="38" t="s">
        <v>959</v>
      </c>
      <c r="F3072" s="45" t="s">
        <v>63</v>
      </c>
    </row>
    <row r="3073" spans="5:6" x14ac:dyDescent="0.3">
      <c r="E3073" s="39" t="s">
        <v>2085</v>
      </c>
      <c r="F3073" s="46" t="s">
        <v>63</v>
      </c>
    </row>
    <row r="3074" spans="5:6" x14ac:dyDescent="0.3">
      <c r="E3074" s="38" t="s">
        <v>842</v>
      </c>
      <c r="F3074" s="45" t="s">
        <v>63</v>
      </c>
    </row>
    <row r="3075" spans="5:6" x14ac:dyDescent="0.3">
      <c r="E3075" s="39" t="s">
        <v>1118</v>
      </c>
      <c r="F3075" s="46" t="s">
        <v>63</v>
      </c>
    </row>
    <row r="3076" spans="5:6" x14ac:dyDescent="0.3">
      <c r="E3076" s="38" t="s">
        <v>282</v>
      </c>
      <c r="F3076" s="45" t="s">
        <v>63</v>
      </c>
    </row>
    <row r="3077" spans="5:6" x14ac:dyDescent="0.3">
      <c r="E3077" s="39" t="s">
        <v>283</v>
      </c>
      <c r="F3077" s="46" t="s">
        <v>63</v>
      </c>
    </row>
    <row r="3078" spans="5:6" x14ac:dyDescent="0.3">
      <c r="E3078" s="38" t="s">
        <v>2086</v>
      </c>
      <c r="F3078" s="45" t="s">
        <v>63</v>
      </c>
    </row>
    <row r="3079" spans="5:6" x14ac:dyDescent="0.3">
      <c r="E3079" s="39" t="s">
        <v>2087</v>
      </c>
      <c r="F3079" s="46" t="s">
        <v>63</v>
      </c>
    </row>
    <row r="3080" spans="5:6" x14ac:dyDescent="0.3">
      <c r="E3080" s="38" t="s">
        <v>2088</v>
      </c>
      <c r="F3080" s="45" t="s">
        <v>63</v>
      </c>
    </row>
    <row r="3081" spans="5:6" x14ac:dyDescent="0.3">
      <c r="E3081" s="39" t="s">
        <v>2089</v>
      </c>
      <c r="F3081" s="46" t="s">
        <v>63</v>
      </c>
    </row>
    <row r="3082" spans="5:6" x14ac:dyDescent="0.3">
      <c r="E3082" s="38" t="s">
        <v>382</v>
      </c>
      <c r="F3082" s="45" t="s">
        <v>63</v>
      </c>
    </row>
    <row r="3083" spans="5:6" x14ac:dyDescent="0.3">
      <c r="E3083" s="39" t="s">
        <v>2090</v>
      </c>
      <c r="F3083" s="46" t="s">
        <v>63</v>
      </c>
    </row>
    <row r="3084" spans="5:6" x14ac:dyDescent="0.3">
      <c r="E3084" s="38" t="s">
        <v>383</v>
      </c>
      <c r="F3084" s="45" t="s">
        <v>63</v>
      </c>
    </row>
    <row r="3085" spans="5:6" x14ac:dyDescent="0.3">
      <c r="E3085" s="39" t="s">
        <v>2091</v>
      </c>
      <c r="F3085" s="46" t="s">
        <v>63</v>
      </c>
    </row>
    <row r="3086" spans="5:6" x14ac:dyDescent="0.3">
      <c r="E3086" s="38" t="s">
        <v>2092</v>
      </c>
      <c r="F3086" s="45" t="s">
        <v>63</v>
      </c>
    </row>
    <row r="3087" spans="5:6" x14ac:dyDescent="0.3">
      <c r="E3087" s="39" t="s">
        <v>2093</v>
      </c>
      <c r="F3087" s="46" t="s">
        <v>63</v>
      </c>
    </row>
    <row r="3088" spans="5:6" x14ac:dyDescent="0.3">
      <c r="E3088" s="38" t="s">
        <v>1130</v>
      </c>
      <c r="F3088" s="45" t="s">
        <v>63</v>
      </c>
    </row>
    <row r="3089" spans="5:6" x14ac:dyDescent="0.3">
      <c r="E3089" s="39" t="s">
        <v>1132</v>
      </c>
      <c r="F3089" s="46" t="s">
        <v>63</v>
      </c>
    </row>
    <row r="3090" spans="5:6" x14ac:dyDescent="0.3">
      <c r="E3090" s="38" t="s">
        <v>2094</v>
      </c>
      <c r="F3090" s="45" t="s">
        <v>63</v>
      </c>
    </row>
    <row r="3091" spans="5:6" x14ac:dyDescent="0.3">
      <c r="E3091" s="39" t="s">
        <v>296</v>
      </c>
      <c r="F3091" s="46" t="s">
        <v>63</v>
      </c>
    </row>
    <row r="3092" spans="5:6" x14ac:dyDescent="0.3">
      <c r="E3092" s="38" t="s">
        <v>2095</v>
      </c>
      <c r="F3092" s="45" t="s">
        <v>63</v>
      </c>
    </row>
    <row r="3093" spans="5:6" x14ac:dyDescent="0.3">
      <c r="E3093" s="39" t="s">
        <v>721</v>
      </c>
      <c r="F3093" s="46" t="s">
        <v>63</v>
      </c>
    </row>
    <row r="3094" spans="5:6" x14ac:dyDescent="0.3">
      <c r="E3094" s="38" t="s">
        <v>2096</v>
      </c>
      <c r="F3094" s="45" t="s">
        <v>63</v>
      </c>
    </row>
    <row r="3095" spans="5:6" x14ac:dyDescent="0.3">
      <c r="E3095" s="39" t="s">
        <v>2097</v>
      </c>
      <c r="F3095" s="46" t="s">
        <v>63</v>
      </c>
    </row>
    <row r="3096" spans="5:6" x14ac:dyDescent="0.3">
      <c r="E3096" s="38" t="s">
        <v>2098</v>
      </c>
      <c r="F3096" s="45" t="s">
        <v>63</v>
      </c>
    </row>
    <row r="3097" spans="5:6" x14ac:dyDescent="0.3">
      <c r="E3097" s="39" t="s">
        <v>658</v>
      </c>
      <c r="F3097" s="46" t="s">
        <v>63</v>
      </c>
    </row>
    <row r="3098" spans="5:6" x14ac:dyDescent="0.3">
      <c r="E3098" s="38" t="s">
        <v>394</v>
      </c>
      <c r="F3098" s="45" t="s">
        <v>63</v>
      </c>
    </row>
    <row r="3099" spans="5:6" x14ac:dyDescent="0.3">
      <c r="E3099" s="39" t="s">
        <v>1573</v>
      </c>
      <c r="F3099" s="46" t="s">
        <v>63</v>
      </c>
    </row>
    <row r="3100" spans="5:6" x14ac:dyDescent="0.3">
      <c r="E3100" s="38" t="s">
        <v>2099</v>
      </c>
      <c r="F3100" s="45" t="s">
        <v>63</v>
      </c>
    </row>
    <row r="3101" spans="5:6" x14ac:dyDescent="0.3">
      <c r="E3101" s="39" t="s">
        <v>2100</v>
      </c>
      <c r="F3101" s="46" t="s">
        <v>63</v>
      </c>
    </row>
    <row r="3102" spans="5:6" x14ac:dyDescent="0.3">
      <c r="E3102" s="38" t="s">
        <v>769</v>
      </c>
      <c r="F3102" s="45" t="s">
        <v>63</v>
      </c>
    </row>
    <row r="3103" spans="5:6" x14ac:dyDescent="0.3">
      <c r="E3103" s="39" t="s">
        <v>1199</v>
      </c>
      <c r="F3103" s="46" t="s">
        <v>63</v>
      </c>
    </row>
    <row r="3104" spans="5:6" x14ac:dyDescent="0.3">
      <c r="E3104" s="38" t="s">
        <v>1889</v>
      </c>
      <c r="F3104" s="45" t="s">
        <v>63</v>
      </c>
    </row>
    <row r="3105" spans="5:6" x14ac:dyDescent="0.3">
      <c r="E3105" s="39" t="s">
        <v>2101</v>
      </c>
      <c r="F3105" s="46" t="s">
        <v>63</v>
      </c>
    </row>
    <row r="3106" spans="5:6" x14ac:dyDescent="0.3">
      <c r="E3106" s="38" t="s">
        <v>2102</v>
      </c>
      <c r="F3106" s="45" t="s">
        <v>63</v>
      </c>
    </row>
    <row r="3107" spans="5:6" x14ac:dyDescent="0.3">
      <c r="E3107" s="39" t="s">
        <v>2103</v>
      </c>
      <c r="F3107" s="46" t="s">
        <v>63</v>
      </c>
    </row>
    <row r="3108" spans="5:6" x14ac:dyDescent="0.3">
      <c r="E3108" s="38" t="s">
        <v>2104</v>
      </c>
      <c r="F3108" s="45" t="s">
        <v>63</v>
      </c>
    </row>
    <row r="3109" spans="5:6" x14ac:dyDescent="0.3">
      <c r="E3109" s="39" t="s">
        <v>2105</v>
      </c>
      <c r="F3109" s="46" t="s">
        <v>63</v>
      </c>
    </row>
    <row r="3110" spans="5:6" x14ac:dyDescent="0.3">
      <c r="E3110" s="38" t="s">
        <v>579</v>
      </c>
      <c r="F3110" s="45" t="s">
        <v>63</v>
      </c>
    </row>
    <row r="3111" spans="5:6" x14ac:dyDescent="0.3">
      <c r="E3111" s="39" t="s">
        <v>2106</v>
      </c>
      <c r="F3111" s="46" t="s">
        <v>63</v>
      </c>
    </row>
    <row r="3112" spans="5:6" x14ac:dyDescent="0.3">
      <c r="E3112" s="38" t="s">
        <v>1291</v>
      </c>
      <c r="F3112" s="45" t="s">
        <v>63</v>
      </c>
    </row>
    <row r="3113" spans="5:6" x14ac:dyDescent="0.3">
      <c r="E3113" s="39" t="s">
        <v>2107</v>
      </c>
      <c r="F3113" s="46" t="s">
        <v>63</v>
      </c>
    </row>
    <row r="3114" spans="5:6" x14ac:dyDescent="0.3">
      <c r="E3114" s="38" t="s">
        <v>1738</v>
      </c>
      <c r="F3114" s="45" t="s">
        <v>63</v>
      </c>
    </row>
    <row r="3115" spans="5:6" x14ac:dyDescent="0.3">
      <c r="E3115" s="39" t="s">
        <v>2108</v>
      </c>
      <c r="F3115" s="46" t="s">
        <v>63</v>
      </c>
    </row>
    <row r="3116" spans="5:6" x14ac:dyDescent="0.3">
      <c r="E3116" s="38" t="s">
        <v>311</v>
      </c>
      <c r="F3116" s="45" t="s">
        <v>63</v>
      </c>
    </row>
    <row r="3117" spans="5:6" x14ac:dyDescent="0.3">
      <c r="E3117" s="39" t="s">
        <v>2109</v>
      </c>
      <c r="F3117" s="46" t="s">
        <v>63</v>
      </c>
    </row>
    <row r="3118" spans="5:6" x14ac:dyDescent="0.3">
      <c r="E3118" s="38" t="s">
        <v>2110</v>
      </c>
      <c r="F3118" s="45" t="s">
        <v>63</v>
      </c>
    </row>
    <row r="3119" spans="5:6" x14ac:dyDescent="0.3">
      <c r="E3119" s="39" t="s">
        <v>2111</v>
      </c>
      <c r="F3119" s="46" t="s">
        <v>63</v>
      </c>
    </row>
    <row r="3120" spans="5:6" x14ac:dyDescent="0.3">
      <c r="E3120" s="38" t="s">
        <v>781</v>
      </c>
      <c r="F3120" s="45" t="s">
        <v>63</v>
      </c>
    </row>
    <row r="3121" spans="5:6" x14ac:dyDescent="0.3">
      <c r="E3121" s="39" t="s">
        <v>1582</v>
      </c>
      <c r="F3121" s="46" t="s">
        <v>63</v>
      </c>
    </row>
    <row r="3122" spans="5:6" x14ac:dyDescent="0.3">
      <c r="E3122" s="38" t="s">
        <v>1423</v>
      </c>
      <c r="F3122" s="45" t="s">
        <v>62</v>
      </c>
    </row>
    <row r="3123" spans="5:6" x14ac:dyDescent="0.3">
      <c r="E3123" s="39" t="s">
        <v>1294</v>
      </c>
      <c r="F3123" s="46" t="s">
        <v>62</v>
      </c>
    </row>
    <row r="3124" spans="5:6" x14ac:dyDescent="0.3">
      <c r="E3124" s="38" t="s">
        <v>948</v>
      </c>
      <c r="F3124" s="45" t="s">
        <v>62</v>
      </c>
    </row>
    <row r="3125" spans="5:6" x14ac:dyDescent="0.3">
      <c r="E3125" s="39" t="s">
        <v>1296</v>
      </c>
      <c r="F3125" s="46" t="s">
        <v>62</v>
      </c>
    </row>
    <row r="3126" spans="5:6" x14ac:dyDescent="0.3">
      <c r="E3126" s="38" t="s">
        <v>2112</v>
      </c>
      <c r="F3126" s="45" t="s">
        <v>62</v>
      </c>
    </row>
    <row r="3127" spans="5:6" x14ac:dyDescent="0.3">
      <c r="E3127" s="39" t="s">
        <v>1628</v>
      </c>
      <c r="F3127" s="46" t="s">
        <v>62</v>
      </c>
    </row>
    <row r="3128" spans="5:6" x14ac:dyDescent="0.3">
      <c r="E3128" s="38" t="s">
        <v>488</v>
      </c>
      <c r="F3128" s="45" t="s">
        <v>62</v>
      </c>
    </row>
    <row r="3129" spans="5:6" x14ac:dyDescent="0.3">
      <c r="E3129" s="39" t="s">
        <v>2113</v>
      </c>
      <c r="F3129" s="46" t="s">
        <v>62</v>
      </c>
    </row>
    <row r="3130" spans="5:6" x14ac:dyDescent="0.3">
      <c r="E3130" s="38" t="s">
        <v>2114</v>
      </c>
      <c r="F3130" s="45" t="s">
        <v>62</v>
      </c>
    </row>
    <row r="3131" spans="5:6" x14ac:dyDescent="0.3">
      <c r="E3131" s="39" t="s">
        <v>381</v>
      </c>
      <c r="F3131" s="46" t="s">
        <v>62</v>
      </c>
    </row>
    <row r="3132" spans="5:6" x14ac:dyDescent="0.3">
      <c r="E3132" s="38" t="s">
        <v>2115</v>
      </c>
      <c r="F3132" s="45" t="s">
        <v>62</v>
      </c>
    </row>
    <row r="3133" spans="5:6" x14ac:dyDescent="0.3">
      <c r="E3133" s="39" t="s">
        <v>383</v>
      </c>
      <c r="F3133" s="46" t="s">
        <v>62</v>
      </c>
    </row>
    <row r="3134" spans="5:6" x14ac:dyDescent="0.3">
      <c r="E3134" s="38" t="s">
        <v>2116</v>
      </c>
      <c r="F3134" s="45" t="s">
        <v>62</v>
      </c>
    </row>
    <row r="3135" spans="5:6" x14ac:dyDescent="0.3">
      <c r="E3135" s="39" t="s">
        <v>2117</v>
      </c>
      <c r="F3135" s="46" t="s">
        <v>62</v>
      </c>
    </row>
    <row r="3136" spans="5:6" x14ac:dyDescent="0.3">
      <c r="E3136" s="38" t="s">
        <v>507</v>
      </c>
      <c r="F3136" s="45" t="s">
        <v>62</v>
      </c>
    </row>
    <row r="3137" spans="5:6" x14ac:dyDescent="0.3">
      <c r="E3137" s="39" t="s">
        <v>1279</v>
      </c>
      <c r="F3137" s="46" t="s">
        <v>62</v>
      </c>
    </row>
    <row r="3138" spans="5:6" x14ac:dyDescent="0.3">
      <c r="E3138" s="38" t="s">
        <v>922</v>
      </c>
      <c r="F3138" s="45" t="s">
        <v>62</v>
      </c>
    </row>
    <row r="3139" spans="5:6" x14ac:dyDescent="0.3">
      <c r="E3139" s="39" t="s">
        <v>2118</v>
      </c>
      <c r="F3139" s="46" t="s">
        <v>62</v>
      </c>
    </row>
    <row r="3140" spans="5:6" x14ac:dyDescent="0.3">
      <c r="E3140" s="38" t="s">
        <v>2119</v>
      </c>
      <c r="F3140" s="45" t="s">
        <v>62</v>
      </c>
    </row>
    <row r="3141" spans="5:6" x14ac:dyDescent="0.3">
      <c r="E3141" s="39" t="s">
        <v>726</v>
      </c>
      <c r="F3141" s="46" t="s">
        <v>62</v>
      </c>
    </row>
    <row r="3142" spans="5:6" x14ac:dyDescent="0.3">
      <c r="E3142" s="38" t="s">
        <v>2120</v>
      </c>
      <c r="F3142" s="45" t="s">
        <v>62</v>
      </c>
    </row>
    <row r="3143" spans="5:6" x14ac:dyDescent="0.3">
      <c r="E3143" s="39" t="s">
        <v>2121</v>
      </c>
      <c r="F3143" s="46" t="s">
        <v>62</v>
      </c>
    </row>
    <row r="3144" spans="5:6" x14ac:dyDescent="0.3">
      <c r="E3144" s="38" t="s">
        <v>2122</v>
      </c>
      <c r="F3144" s="45" t="s">
        <v>62</v>
      </c>
    </row>
    <row r="3145" spans="5:6" x14ac:dyDescent="0.3">
      <c r="E3145" s="39" t="s">
        <v>2123</v>
      </c>
      <c r="F3145" s="46" t="s">
        <v>74</v>
      </c>
    </row>
    <row r="3146" spans="5:6" x14ac:dyDescent="0.3">
      <c r="E3146" s="38" t="s">
        <v>2124</v>
      </c>
      <c r="F3146" s="45" t="s">
        <v>74</v>
      </c>
    </row>
    <row r="3147" spans="5:6" x14ac:dyDescent="0.3">
      <c r="E3147" s="39" t="s">
        <v>2125</v>
      </c>
      <c r="F3147" s="46" t="s">
        <v>74</v>
      </c>
    </row>
    <row r="3148" spans="5:6" x14ac:dyDescent="0.3">
      <c r="E3148" s="38" t="s">
        <v>2126</v>
      </c>
      <c r="F3148" s="45" t="s">
        <v>74</v>
      </c>
    </row>
    <row r="3149" spans="5:6" x14ac:dyDescent="0.3">
      <c r="E3149" s="39" t="s">
        <v>2127</v>
      </c>
      <c r="F3149" s="46" t="s">
        <v>74</v>
      </c>
    </row>
    <row r="3150" spans="5:6" x14ac:dyDescent="0.3">
      <c r="E3150" s="38" t="s">
        <v>2128</v>
      </c>
      <c r="F3150" s="45" t="s">
        <v>74</v>
      </c>
    </row>
    <row r="3151" spans="5:6" x14ac:dyDescent="0.3">
      <c r="E3151" s="39" t="s">
        <v>2129</v>
      </c>
      <c r="F3151" s="46" t="s">
        <v>74</v>
      </c>
    </row>
    <row r="3152" spans="5:6" x14ac:dyDescent="0.3">
      <c r="E3152" s="38" t="s">
        <v>2130</v>
      </c>
      <c r="F3152" s="45" t="s">
        <v>74</v>
      </c>
    </row>
    <row r="3153" spans="5:6" x14ac:dyDescent="0.3">
      <c r="E3153" s="39" t="s">
        <v>2131</v>
      </c>
      <c r="F3153" s="46" t="s">
        <v>74</v>
      </c>
    </row>
    <row r="3154" spans="5:6" x14ac:dyDescent="0.3">
      <c r="E3154" s="38" t="s">
        <v>2132</v>
      </c>
      <c r="F3154" s="45" t="s">
        <v>74</v>
      </c>
    </row>
    <row r="3155" spans="5:6" x14ac:dyDescent="0.3">
      <c r="E3155" s="39" t="s">
        <v>2133</v>
      </c>
      <c r="F3155" s="46" t="s">
        <v>74</v>
      </c>
    </row>
    <row r="3156" spans="5:6" x14ac:dyDescent="0.3">
      <c r="E3156" s="38" t="s">
        <v>2134</v>
      </c>
      <c r="F3156" s="45" t="s">
        <v>74</v>
      </c>
    </row>
    <row r="3157" spans="5:6" x14ac:dyDescent="0.3">
      <c r="E3157" s="39" t="s">
        <v>2135</v>
      </c>
      <c r="F3157" s="46" t="s">
        <v>74</v>
      </c>
    </row>
    <row r="3158" spans="5:6" x14ac:dyDescent="0.3">
      <c r="E3158" s="38" t="s">
        <v>2136</v>
      </c>
      <c r="F3158" s="45" t="s">
        <v>74</v>
      </c>
    </row>
    <row r="3159" spans="5:6" x14ac:dyDescent="0.3">
      <c r="E3159" s="39" t="s">
        <v>2137</v>
      </c>
      <c r="F3159" s="46" t="s">
        <v>74</v>
      </c>
    </row>
    <row r="3160" spans="5:6" x14ac:dyDescent="0.3">
      <c r="E3160" s="38" t="s">
        <v>2138</v>
      </c>
      <c r="F3160" s="45" t="s">
        <v>74</v>
      </c>
    </row>
    <row r="3161" spans="5:6" x14ac:dyDescent="0.3">
      <c r="E3161" s="39" t="s">
        <v>2139</v>
      </c>
      <c r="F3161" s="46" t="s">
        <v>74</v>
      </c>
    </row>
    <row r="3162" spans="5:6" x14ac:dyDescent="0.3">
      <c r="E3162" s="38" t="s">
        <v>2140</v>
      </c>
      <c r="F3162" s="45" t="s">
        <v>74</v>
      </c>
    </row>
    <row r="3163" spans="5:6" x14ac:dyDescent="0.3">
      <c r="E3163" s="39" t="s">
        <v>2141</v>
      </c>
      <c r="F3163" s="46" t="s">
        <v>74</v>
      </c>
    </row>
    <row r="3164" spans="5:6" x14ac:dyDescent="0.3">
      <c r="E3164" s="38" t="s">
        <v>2142</v>
      </c>
      <c r="F3164" s="45" t="s">
        <v>74</v>
      </c>
    </row>
    <row r="3165" spans="5:6" x14ac:dyDescent="0.3">
      <c r="E3165" s="39" t="s">
        <v>2143</v>
      </c>
      <c r="F3165" s="46" t="s">
        <v>74</v>
      </c>
    </row>
    <row r="3166" spans="5:6" x14ac:dyDescent="0.3">
      <c r="E3166" s="38" t="s">
        <v>2144</v>
      </c>
      <c r="F3166" s="45" t="s">
        <v>74</v>
      </c>
    </row>
    <row r="3167" spans="5:6" x14ac:dyDescent="0.3">
      <c r="E3167" s="39" t="s">
        <v>2145</v>
      </c>
      <c r="F3167" s="46" t="s">
        <v>74</v>
      </c>
    </row>
    <row r="3168" spans="5:6" x14ac:dyDescent="0.3">
      <c r="E3168" s="38" t="s">
        <v>2146</v>
      </c>
      <c r="F3168" s="45" t="s">
        <v>74</v>
      </c>
    </row>
    <row r="3169" spans="5:6" x14ac:dyDescent="0.3">
      <c r="E3169" s="39" t="s">
        <v>2147</v>
      </c>
      <c r="F3169" s="46" t="s">
        <v>74</v>
      </c>
    </row>
    <row r="3170" spans="5:6" x14ac:dyDescent="0.3">
      <c r="E3170" s="38" t="s">
        <v>2148</v>
      </c>
      <c r="F3170" s="45" t="s">
        <v>74</v>
      </c>
    </row>
    <row r="3171" spans="5:6" x14ac:dyDescent="0.3">
      <c r="E3171" s="39" t="s">
        <v>2149</v>
      </c>
      <c r="F3171" s="46" t="s">
        <v>74</v>
      </c>
    </row>
    <row r="3172" spans="5:6" x14ac:dyDescent="0.3">
      <c r="E3172" s="38" t="s">
        <v>2150</v>
      </c>
      <c r="F3172" s="45" t="s">
        <v>74</v>
      </c>
    </row>
    <row r="3173" spans="5:6" x14ac:dyDescent="0.3">
      <c r="E3173" s="39" t="s">
        <v>2151</v>
      </c>
      <c r="F3173" s="46" t="s">
        <v>74</v>
      </c>
    </row>
    <row r="3174" spans="5:6" x14ac:dyDescent="0.3">
      <c r="E3174" s="38" t="s">
        <v>2152</v>
      </c>
      <c r="F3174" s="45" t="s">
        <v>74</v>
      </c>
    </row>
    <row r="3175" spans="5:6" x14ac:dyDescent="0.3">
      <c r="E3175" s="39" t="s">
        <v>2153</v>
      </c>
      <c r="F3175" s="46" t="s">
        <v>74</v>
      </c>
    </row>
    <row r="3176" spans="5:6" x14ac:dyDescent="0.3">
      <c r="E3176" s="38" t="s">
        <v>2154</v>
      </c>
      <c r="F3176" s="45" t="s">
        <v>74</v>
      </c>
    </row>
    <row r="3177" spans="5:6" x14ac:dyDescent="0.3">
      <c r="E3177" s="39" t="s">
        <v>2155</v>
      </c>
      <c r="F3177" s="46" t="s">
        <v>74</v>
      </c>
    </row>
    <row r="3178" spans="5:6" x14ac:dyDescent="0.3">
      <c r="E3178" s="38" t="s">
        <v>2156</v>
      </c>
      <c r="F3178" s="45" t="s">
        <v>74</v>
      </c>
    </row>
    <row r="3179" spans="5:6" x14ac:dyDescent="0.3">
      <c r="E3179" s="39" t="s">
        <v>2157</v>
      </c>
      <c r="F3179" s="46" t="s">
        <v>74</v>
      </c>
    </row>
    <row r="3180" spans="5:6" x14ac:dyDescent="0.3">
      <c r="E3180" s="38" t="s">
        <v>2158</v>
      </c>
      <c r="F3180" s="45" t="s">
        <v>74</v>
      </c>
    </row>
    <row r="3181" spans="5:6" x14ac:dyDescent="0.3">
      <c r="E3181" s="39" t="s">
        <v>2159</v>
      </c>
      <c r="F3181" s="46" t="s">
        <v>74</v>
      </c>
    </row>
    <row r="3182" spans="5:6" x14ac:dyDescent="0.3">
      <c r="E3182" s="38" t="s">
        <v>2160</v>
      </c>
      <c r="F3182" s="45" t="s">
        <v>74</v>
      </c>
    </row>
    <row r="3183" spans="5:6" x14ac:dyDescent="0.3">
      <c r="E3183" s="39" t="s">
        <v>2161</v>
      </c>
      <c r="F3183" s="46" t="s">
        <v>74</v>
      </c>
    </row>
    <row r="3184" spans="5:6" x14ac:dyDescent="0.3">
      <c r="E3184" s="38" t="s">
        <v>2162</v>
      </c>
      <c r="F3184" s="45" t="s">
        <v>74</v>
      </c>
    </row>
    <row r="3185" spans="5:6" x14ac:dyDescent="0.3">
      <c r="E3185" s="39" t="s">
        <v>2163</v>
      </c>
      <c r="F3185" s="46" t="s">
        <v>74</v>
      </c>
    </row>
    <row r="3186" spans="5:6" x14ac:dyDescent="0.3">
      <c r="E3186" s="38" t="s">
        <v>2164</v>
      </c>
      <c r="F3186" s="45" t="s">
        <v>74</v>
      </c>
    </row>
    <row r="3187" spans="5:6" x14ac:dyDescent="0.3">
      <c r="E3187" s="39" t="s">
        <v>2165</v>
      </c>
      <c r="F3187" s="46" t="s">
        <v>74</v>
      </c>
    </row>
    <row r="3188" spans="5:6" x14ac:dyDescent="0.3">
      <c r="E3188" s="38" t="s">
        <v>2166</v>
      </c>
      <c r="F3188" s="45" t="s">
        <v>74</v>
      </c>
    </row>
    <row r="3189" spans="5:6" x14ac:dyDescent="0.3">
      <c r="E3189" s="39" t="s">
        <v>2167</v>
      </c>
      <c r="F3189" s="46" t="s">
        <v>74</v>
      </c>
    </row>
    <row r="3190" spans="5:6" x14ac:dyDescent="0.3">
      <c r="E3190" s="38" t="s">
        <v>2168</v>
      </c>
      <c r="F3190" s="45" t="s">
        <v>74</v>
      </c>
    </row>
    <row r="3191" spans="5:6" x14ac:dyDescent="0.3">
      <c r="E3191" s="39" t="s">
        <v>2169</v>
      </c>
      <c r="F3191" s="46" t="s">
        <v>74</v>
      </c>
    </row>
    <row r="3192" spans="5:6" x14ac:dyDescent="0.3">
      <c r="E3192" s="38" t="s">
        <v>2170</v>
      </c>
      <c r="F3192" s="45" t="s">
        <v>74</v>
      </c>
    </row>
    <row r="3193" spans="5:6" x14ac:dyDescent="0.3">
      <c r="E3193" s="39" t="s">
        <v>2171</v>
      </c>
      <c r="F3193" s="46" t="s">
        <v>74</v>
      </c>
    </row>
    <row r="3194" spans="5:6" x14ac:dyDescent="0.3">
      <c r="E3194" s="38" t="s">
        <v>2172</v>
      </c>
      <c r="F3194" s="45" t="s">
        <v>74</v>
      </c>
    </row>
    <row r="3195" spans="5:6" x14ac:dyDescent="0.3">
      <c r="E3195" s="39" t="s">
        <v>2173</v>
      </c>
      <c r="F3195" s="46" t="s">
        <v>74</v>
      </c>
    </row>
    <row r="3196" spans="5:6" x14ac:dyDescent="0.3">
      <c r="E3196" s="38" t="s">
        <v>2174</v>
      </c>
      <c r="F3196" s="45" t="s">
        <v>74</v>
      </c>
    </row>
    <row r="3197" spans="5:6" x14ac:dyDescent="0.3">
      <c r="E3197" s="39" t="s">
        <v>2175</v>
      </c>
      <c r="F3197" s="46" t="s">
        <v>74</v>
      </c>
    </row>
    <row r="3198" spans="5:6" x14ac:dyDescent="0.3">
      <c r="E3198" s="38" t="s">
        <v>2176</v>
      </c>
      <c r="F3198" s="45" t="s">
        <v>74</v>
      </c>
    </row>
    <row r="3199" spans="5:6" x14ac:dyDescent="0.3">
      <c r="E3199" s="39" t="s">
        <v>2177</v>
      </c>
      <c r="F3199" s="46" t="s">
        <v>74</v>
      </c>
    </row>
    <row r="3200" spans="5:6" x14ac:dyDescent="0.3">
      <c r="E3200" s="38" t="s">
        <v>2178</v>
      </c>
      <c r="F3200" s="45" t="s">
        <v>74</v>
      </c>
    </row>
    <row r="3201" spans="5:6" x14ac:dyDescent="0.3">
      <c r="E3201" s="39" t="s">
        <v>2179</v>
      </c>
      <c r="F3201" s="46" t="s">
        <v>74</v>
      </c>
    </row>
    <row r="3202" spans="5:6" x14ac:dyDescent="0.3">
      <c r="E3202" s="38" t="s">
        <v>2180</v>
      </c>
      <c r="F3202" s="45" t="s">
        <v>74</v>
      </c>
    </row>
    <row r="3203" spans="5:6" x14ac:dyDescent="0.3">
      <c r="E3203" s="39" t="s">
        <v>2181</v>
      </c>
      <c r="F3203" s="46" t="s">
        <v>74</v>
      </c>
    </row>
    <row r="3204" spans="5:6" x14ac:dyDescent="0.3">
      <c r="E3204" s="38" t="s">
        <v>2182</v>
      </c>
      <c r="F3204" s="45" t="s">
        <v>74</v>
      </c>
    </row>
    <row r="3205" spans="5:6" x14ac:dyDescent="0.3">
      <c r="E3205" s="39" t="s">
        <v>512</v>
      </c>
      <c r="F3205" s="46" t="s">
        <v>74</v>
      </c>
    </row>
    <row r="3206" spans="5:6" x14ac:dyDescent="0.3">
      <c r="E3206" s="38" t="s">
        <v>2183</v>
      </c>
      <c r="F3206" s="45" t="s">
        <v>74</v>
      </c>
    </row>
    <row r="3207" spans="5:6" x14ac:dyDescent="0.3">
      <c r="E3207" s="39" t="s">
        <v>2184</v>
      </c>
      <c r="F3207" s="46" t="s">
        <v>74</v>
      </c>
    </row>
    <row r="3208" spans="5:6" x14ac:dyDescent="0.3">
      <c r="E3208" s="38" t="s">
        <v>2185</v>
      </c>
      <c r="F3208" s="45" t="s">
        <v>74</v>
      </c>
    </row>
    <row r="3209" spans="5:6" x14ac:dyDescent="0.3">
      <c r="E3209" s="39" t="s">
        <v>515</v>
      </c>
      <c r="F3209" s="46" t="s">
        <v>74</v>
      </c>
    </row>
    <row r="3210" spans="5:6" x14ac:dyDescent="0.3">
      <c r="E3210" s="38" t="s">
        <v>2186</v>
      </c>
      <c r="F3210" s="45" t="s">
        <v>74</v>
      </c>
    </row>
    <row r="3211" spans="5:6" x14ac:dyDescent="0.3">
      <c r="E3211" s="39" t="s">
        <v>2187</v>
      </c>
      <c r="F3211" s="46" t="s">
        <v>74</v>
      </c>
    </row>
    <row r="3212" spans="5:6" x14ac:dyDescent="0.3">
      <c r="E3212" s="38" t="s">
        <v>2188</v>
      </c>
      <c r="F3212" s="45" t="s">
        <v>74</v>
      </c>
    </row>
    <row r="3213" spans="5:6" x14ac:dyDescent="0.3">
      <c r="E3213" s="39" t="s">
        <v>2189</v>
      </c>
      <c r="F3213" s="46" t="s">
        <v>74</v>
      </c>
    </row>
    <row r="3214" spans="5:6" x14ac:dyDescent="0.3">
      <c r="E3214" s="38" t="s">
        <v>2190</v>
      </c>
      <c r="F3214" s="45" t="s">
        <v>74</v>
      </c>
    </row>
    <row r="3215" spans="5:6" x14ac:dyDescent="0.3">
      <c r="E3215" s="39" t="s">
        <v>2191</v>
      </c>
      <c r="F3215" s="46" t="s">
        <v>74</v>
      </c>
    </row>
    <row r="3216" spans="5:6" x14ac:dyDescent="0.3">
      <c r="E3216" s="38" t="s">
        <v>2192</v>
      </c>
      <c r="F3216" s="45" t="s">
        <v>74</v>
      </c>
    </row>
    <row r="3217" spans="5:6" x14ac:dyDescent="0.3">
      <c r="E3217" s="39" t="s">
        <v>2193</v>
      </c>
      <c r="F3217" s="46" t="s">
        <v>74</v>
      </c>
    </row>
    <row r="3218" spans="5:6" x14ac:dyDescent="0.3">
      <c r="E3218" s="38" t="s">
        <v>2194</v>
      </c>
      <c r="F3218" s="45" t="s">
        <v>74</v>
      </c>
    </row>
    <row r="3219" spans="5:6" x14ac:dyDescent="0.3">
      <c r="E3219" s="39" t="s">
        <v>2195</v>
      </c>
      <c r="F3219" s="46" t="s">
        <v>74</v>
      </c>
    </row>
    <row r="3220" spans="5:6" x14ac:dyDescent="0.3">
      <c r="E3220" s="38" t="s">
        <v>2196</v>
      </c>
      <c r="F3220" s="45" t="s">
        <v>74</v>
      </c>
    </row>
    <row r="3221" spans="5:6" x14ac:dyDescent="0.3">
      <c r="E3221" s="39" t="s">
        <v>2197</v>
      </c>
      <c r="F3221" s="46" t="s">
        <v>74</v>
      </c>
    </row>
    <row r="3222" spans="5:6" x14ac:dyDescent="0.3">
      <c r="E3222" s="38" t="s">
        <v>2198</v>
      </c>
      <c r="F3222" s="45" t="s">
        <v>74</v>
      </c>
    </row>
    <row r="3223" spans="5:6" x14ac:dyDescent="0.3">
      <c r="E3223" s="39" t="s">
        <v>2199</v>
      </c>
      <c r="F3223" s="46" t="s">
        <v>173</v>
      </c>
    </row>
    <row r="3224" spans="5:6" x14ac:dyDescent="0.3">
      <c r="E3224" s="38" t="s">
        <v>2200</v>
      </c>
      <c r="F3224" s="45" t="s">
        <v>173</v>
      </c>
    </row>
    <row r="3225" spans="5:6" x14ac:dyDescent="0.3">
      <c r="E3225" s="47" t="s">
        <v>2201</v>
      </c>
      <c r="F3225" s="48" t="s">
        <v>173</v>
      </c>
    </row>
  </sheetData>
  <sheetProtection algorithmName="SHA-512" hashValue="PW80+A58g9QYBbdNWpTKtdSyhChUwGHvaAp5qgP6v1GaW2lz1qADL8fBm/iVmzVpYJH0PyIurTOGj2COy08PWA==" saltValue="Qr/5IktTBlZRSrk4KPQ4xw==" spinCount="100000" sheet="1" objects="1" scenarios="1"/>
  <sortState xmlns:xlrd2="http://schemas.microsoft.com/office/spreadsheetml/2017/richdata2" ref="S3:T10">
    <sortCondition ref="S3:S10"/>
  </sortState>
  <pageMargins left="0.7" right="0.7" top="0.75" bottom="0.75" header="0.3" footer="0.3"/>
  <pageSetup orientation="portrait" r:id="rId1"/>
  <headerFooter>
    <oddFooter>&amp;L&amp;1#&amp;"Calibri"&amp;9&amp;K008000FHLBank San Francisco | Public</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AE153"/>
  <sheetViews>
    <sheetView topLeftCell="A85" zoomScale="115" zoomScaleNormal="115" workbookViewId="0">
      <selection activeCell="A107" sqref="A107"/>
    </sheetView>
  </sheetViews>
  <sheetFormatPr defaultColWidth="9.26953125" defaultRowHeight="13" x14ac:dyDescent="0.3"/>
  <cols>
    <col min="1" max="1" width="23.7265625" style="1" customWidth="1"/>
    <col min="2" max="2" width="15.26953125" style="1" customWidth="1"/>
    <col min="3" max="3" width="32.7265625" style="1" customWidth="1"/>
    <col min="4" max="4" width="16.7265625" style="24" customWidth="1"/>
    <col min="5" max="5" width="17.1796875" style="1" customWidth="1"/>
    <col min="6" max="6" width="56.453125" style="1" customWidth="1"/>
    <col min="7" max="7" width="18.54296875" style="2" customWidth="1"/>
    <col min="8" max="8" width="21.26953125" style="2" customWidth="1"/>
    <col min="9" max="9" width="22" style="1" customWidth="1"/>
    <col min="10" max="10" width="12" style="1" customWidth="1"/>
    <col min="11" max="11" width="17.453125" style="1" customWidth="1"/>
    <col min="12" max="12" width="19" style="1" customWidth="1"/>
    <col min="13" max="13" width="22" style="24" customWidth="1"/>
    <col min="14" max="14" width="24" style="1" customWidth="1"/>
    <col min="15" max="15" width="21.26953125" style="1" customWidth="1"/>
    <col min="16" max="16" width="20" style="1" bestFit="1" customWidth="1"/>
    <col min="17" max="17" width="20.26953125" style="1" bestFit="1" customWidth="1"/>
    <col min="18" max="18" width="22.26953125" style="1" customWidth="1"/>
    <col min="19" max="19" width="13.7265625" style="1" customWidth="1"/>
    <col min="20" max="20" width="14.54296875" style="1" customWidth="1"/>
    <col min="21" max="21" width="31.453125" style="1" customWidth="1"/>
    <col min="22" max="22" width="31.26953125" style="1" customWidth="1"/>
    <col min="23" max="23" width="32.54296875" style="1" bestFit="1" customWidth="1"/>
    <col min="24" max="24" width="23" style="1" customWidth="1"/>
    <col min="25" max="25" width="13.7265625" style="2" customWidth="1"/>
    <col min="26" max="26" width="36" style="2" bestFit="1" customWidth="1"/>
    <col min="27" max="29" width="36" style="2" customWidth="1"/>
    <col min="30" max="30" width="31.7265625" style="1" customWidth="1"/>
    <col min="31" max="31" width="35.54296875" style="1" customWidth="1"/>
    <col min="32" max="16384" width="9.26953125" style="1"/>
  </cols>
  <sheetData>
    <row r="1" spans="1:31" ht="21.75" customHeight="1" x14ac:dyDescent="0.3">
      <c r="A1" s="5" t="s">
        <v>2416</v>
      </c>
      <c r="E1" s="5"/>
      <c r="F1" s="5" t="s">
        <v>136</v>
      </c>
      <c r="G1" s="5" t="s">
        <v>50</v>
      </c>
      <c r="J1" s="1" t="s">
        <v>51</v>
      </c>
      <c r="K1" s="13" t="s">
        <v>10</v>
      </c>
      <c r="L1" s="5" t="s">
        <v>200</v>
      </c>
      <c r="V1" s="1" t="s">
        <v>196</v>
      </c>
    </row>
    <row r="2" spans="1:31" x14ac:dyDescent="0.3">
      <c r="A2" s="1" t="s">
        <v>2769</v>
      </c>
      <c r="B2" s="1" t="s">
        <v>36</v>
      </c>
      <c r="C2" s="1" t="s">
        <v>0</v>
      </c>
      <c r="D2" s="1" t="s">
        <v>162</v>
      </c>
      <c r="E2" s="24" t="s">
        <v>4</v>
      </c>
      <c r="F2" s="1" t="s">
        <v>1</v>
      </c>
      <c r="G2" s="2" t="s">
        <v>2</v>
      </c>
      <c r="H2" s="2" t="s">
        <v>49</v>
      </c>
      <c r="I2" s="2" t="s">
        <v>29</v>
      </c>
      <c r="J2" s="2" t="s">
        <v>41</v>
      </c>
      <c r="K2" s="1" t="s">
        <v>30</v>
      </c>
      <c r="L2" s="2" t="s">
        <v>3</v>
      </c>
      <c r="M2" s="24" t="s">
        <v>14</v>
      </c>
      <c r="N2" s="1" t="s">
        <v>15</v>
      </c>
      <c r="O2" s="1" t="s">
        <v>16</v>
      </c>
      <c r="P2" s="1" t="s">
        <v>43</v>
      </c>
      <c r="Q2" s="1" t="s">
        <v>45</v>
      </c>
      <c r="R2" s="1" t="s">
        <v>112</v>
      </c>
      <c r="S2" s="1" t="s">
        <v>44</v>
      </c>
      <c r="T2" s="1" t="s">
        <v>46</v>
      </c>
      <c r="U2" s="1" t="s">
        <v>47</v>
      </c>
      <c r="V2" s="1" t="s">
        <v>48</v>
      </c>
      <c r="W2" s="1" t="s">
        <v>186</v>
      </c>
      <c r="X2" s="1" t="s">
        <v>185</v>
      </c>
      <c r="Y2" s="1" t="s">
        <v>209</v>
      </c>
      <c r="Z2" s="52" t="s">
        <v>2275</v>
      </c>
      <c r="AA2" s="52" t="s">
        <v>2248</v>
      </c>
      <c r="AB2" s="52" t="s">
        <v>2649</v>
      </c>
      <c r="AC2" s="52" t="s">
        <v>2648</v>
      </c>
      <c r="AD2" s="52" t="s">
        <v>2647</v>
      </c>
      <c r="AE2" s="29" t="s">
        <v>172</v>
      </c>
    </row>
    <row r="3" spans="1:31" x14ac:dyDescent="0.3">
      <c r="A3" s="10"/>
      <c r="B3" s="17"/>
      <c r="C3" s="54" t="s">
        <v>114</v>
      </c>
      <c r="D3" s="1" t="b">
        <v>0</v>
      </c>
      <c r="E3" s="24" t="b">
        <v>0</v>
      </c>
      <c r="F3" s="2" t="s">
        <v>198</v>
      </c>
      <c r="G3" s="30">
        <f ca="1">COUNTIF(DB_TBL_DATA_FIELDS[PCT_CALC_FIELD_STATUS_CODE],2)</f>
        <v>0</v>
      </c>
      <c r="H3" s="10"/>
      <c r="I3" s="2" t="b">
        <f ca="1">(DB_TBL_DATA_FIELDS[[#This Row],[FIELD_VALUE_RAW]]="")</f>
        <v>0</v>
      </c>
      <c r="J3" s="2" t="s">
        <v>40</v>
      </c>
      <c r="K3" s="7" t="b">
        <f>AND(IF(DB_TBL_DATA_FIELDS[[#This Row],[FIELD_VALID_CUSTOM_LOGIC]]="",TRUE,DB_TBL_DATA_FIELDS[[#This Row],[FIELD_VALID_CUSTOM_LOGIC]]),DB_TBL_DATA_FIELDS[[#This Row],[RANGE_VALIDATION_PASSED_FLAG]])</f>
        <v>1</v>
      </c>
      <c r="L3" s="10">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0</v>
      </c>
      <c r="M3" s="326" t="str">
        <f>IF(DB_TBL_DATA_FIELDS[[#This Row],[SHEET_REF_CALC]]="","",IF(DB_TBL_DATA_FIELDS[[#This Row],[FIELD_EMPTY_FLAG]],IF(NOT(DB_TBL_DATA_FIELDS[[#This Row],[FIELD_REQ_FLAG]]),-1,1),IF(NOT(DB_TBL_DATA_FIELDS[[#This Row],[FIELD_VALID_FLAG]]),0,2)))</f>
        <v/>
      </c>
      <c r="N3" s="7" t="str">
        <f>IFERROR(VLOOKUP(DB_TBL_DATA_FIELDS[[#This Row],[FIELD_STATUS_CODE]],DB_TBL_CONFIG_FIELDSTATUSCODES[#All],3,FALSE),"")</f>
        <v/>
      </c>
      <c r="O3" s="7" t="str">
        <f>IFERROR(VLOOKUP(DB_TBL_DATA_FIELDS[[#This Row],[FIELD_STATUS_CODE]],DB_TBL_CONFIG_FIELDSTATUSCODES[#All],4,FALSE),"")</f>
        <v/>
      </c>
      <c r="P3" s="7" t="b">
        <f>TRUE</f>
        <v>1</v>
      </c>
      <c r="Q3" s="7" t="b">
        <v>0</v>
      </c>
      <c r="S3" s="7">
        <f ca="1">IF(DB_TBL_DATA_FIELDS[[#This Row],[RANGE_VALIDATION_FLAG]]="Text",LEN(DB_TBL_DATA_FIELDS[[#This Row],[FIELD_VALUE_RAW]]),IFERROR(VALUE(DB_TBL_DATA_FIELDS[[#This Row],[FIELD_VALUE_RAW]]),-1))</f>
        <v>0</v>
      </c>
      <c r="T3" s="7"/>
      <c r="U3" s="7"/>
      <c r="V3" s="7" t="b">
        <f>IF(NOT(DB_TBL_DATA_FIELDS[[#This Row],[RANGE_VALIDATION_ON_FLAG]]),TRUE,
AND(DB_TBL_DATA_FIELDS[[#This Row],[RANGE_VALUE_LEN]]&gt;=DB_TBL_DATA_FIELDS[[#This Row],[RANGE_VALIDATION_MIN]],DB_TBL_DATA_FIELDS[[#This Row],[RANGE_VALUE_LEN]]&lt;=DB_TBL_DATA_FIELDS[[#This Row],[RANGE_VALIDATION_MAX]]))</f>
        <v>1</v>
      </c>
      <c r="W3" s="17">
        <v>0</v>
      </c>
      <c r="X3" s="17" t="str">
        <f>IF(DB_TBL_DATA_FIELDS[[#This Row],[PCT_CALC_SHOW_STATUS_CODE]]=1,
DB_TBL_DATA_FIELDS[[#This Row],[FIELD_STATUS_CODE]],
IF(AND(DB_TBL_DATA_FIELDS[[#This Row],[PCT_CALC_SHOW_STATUS_CODE]]=2,DB_TBL_DATA_FIELDS[[#This Row],[FIELD_STATUS_CODE]]=0),
DB_TBL_DATA_FIELDS[[#This Row],[FIELD_STATUS_CODE]],
"")
)</f>
        <v/>
      </c>
      <c r="Y3" s="17"/>
      <c r="Z3" s="10" t="s">
        <v>171</v>
      </c>
      <c r="AA3" s="10"/>
      <c r="AB3" s="10"/>
      <c r="AC3" s="10"/>
      <c r="AD3" s="10"/>
      <c r="AE3" s="7"/>
    </row>
    <row r="4" spans="1:31" x14ac:dyDescent="0.3">
      <c r="A4" s="10"/>
      <c r="B4" s="17"/>
      <c r="C4" s="54" t="s">
        <v>115</v>
      </c>
      <c r="D4" s="1" t="b">
        <v>0</v>
      </c>
      <c r="E4" s="24" t="b">
        <v>0</v>
      </c>
      <c r="F4" s="2" t="s">
        <v>197</v>
      </c>
      <c r="G4" s="30">
        <f ca="1">COUNTIF(DB_TBL_DATA_FIELDS[PCT_CALC_FIELD_STATUS_CODE],0)+COUNTIF(DB_TBL_DATA_FIELDS[PCT_CALC_FIELD_STATUS_CODE],1)+COUNTIF(DB_TBL_DATA_FIELDS[PCT_CALC_FIELD_STATUS_CODE],2)</f>
        <v>49</v>
      </c>
      <c r="H4" s="10"/>
      <c r="I4" s="2" t="b">
        <f ca="1">(DB_TBL_DATA_FIELDS[[#This Row],[FIELD_VALUE_RAW]]="")</f>
        <v>0</v>
      </c>
      <c r="J4" s="2" t="s">
        <v>40</v>
      </c>
      <c r="K4" s="7" t="b">
        <f>AND(IF(DB_TBL_DATA_FIELDS[[#This Row],[FIELD_VALID_CUSTOM_LOGIC]]="",TRUE,DB_TBL_DATA_FIELDS[[#This Row],[FIELD_VALID_CUSTOM_LOGIC]]),DB_TBL_DATA_FIELDS[[#This Row],[RANGE_VALIDATION_PASSED_FLAG]])</f>
        <v>1</v>
      </c>
      <c r="L4" s="10">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49</v>
      </c>
      <c r="M4" s="326" t="str">
        <f>IF(DB_TBL_DATA_FIELDS[[#This Row],[SHEET_REF_CALC]]="","",IF(DB_TBL_DATA_FIELDS[[#This Row],[FIELD_EMPTY_FLAG]],IF(NOT(DB_TBL_DATA_FIELDS[[#This Row],[FIELD_REQ_FLAG]]),-1,1),IF(NOT(DB_TBL_DATA_FIELDS[[#This Row],[FIELD_VALID_FLAG]]),0,2)))</f>
        <v/>
      </c>
      <c r="N4" s="7" t="str">
        <f>IFERROR(VLOOKUP(DB_TBL_DATA_FIELDS[[#This Row],[FIELD_STATUS_CODE]],DB_TBL_CONFIG_FIELDSTATUSCODES[#All],3,FALSE),"")</f>
        <v/>
      </c>
      <c r="O4" s="7" t="str">
        <f>IFERROR(VLOOKUP(DB_TBL_DATA_FIELDS[[#This Row],[FIELD_STATUS_CODE]],DB_TBL_CONFIG_FIELDSTATUSCODES[#All],4,FALSE),"")</f>
        <v/>
      </c>
      <c r="P4" s="7" t="b">
        <f>TRUE</f>
        <v>1</v>
      </c>
      <c r="Q4" s="7" t="b">
        <v>0</v>
      </c>
      <c r="S4" s="7">
        <f ca="1">IF(DB_TBL_DATA_FIELDS[[#This Row],[RANGE_VALIDATION_FLAG]]="Text",LEN(DB_TBL_DATA_FIELDS[[#This Row],[FIELD_VALUE_RAW]]),IFERROR(VALUE(DB_TBL_DATA_FIELDS[[#This Row],[FIELD_VALUE_RAW]]),-1))</f>
        <v>49</v>
      </c>
      <c r="T4" s="7"/>
      <c r="U4" s="7"/>
      <c r="V4" s="7" t="b">
        <f>IF(NOT(DB_TBL_DATA_FIELDS[[#This Row],[RANGE_VALIDATION_ON_FLAG]]),TRUE,
AND(DB_TBL_DATA_FIELDS[[#This Row],[RANGE_VALUE_LEN]]&gt;=DB_TBL_DATA_FIELDS[[#This Row],[RANGE_VALIDATION_MIN]],DB_TBL_DATA_FIELDS[[#This Row],[RANGE_VALUE_LEN]]&lt;=DB_TBL_DATA_FIELDS[[#This Row],[RANGE_VALIDATION_MAX]]))</f>
        <v>1</v>
      </c>
      <c r="W4" s="17">
        <v>0</v>
      </c>
      <c r="X4" s="17" t="str">
        <f>IF(DB_TBL_DATA_FIELDS[[#This Row],[PCT_CALC_SHOW_STATUS_CODE]]=1,
DB_TBL_DATA_FIELDS[[#This Row],[FIELD_STATUS_CODE]],
IF(AND(DB_TBL_DATA_FIELDS[[#This Row],[PCT_CALC_SHOW_STATUS_CODE]]=2,DB_TBL_DATA_FIELDS[[#This Row],[FIELD_STATUS_CODE]]=0),
DB_TBL_DATA_FIELDS[[#This Row],[FIELD_STATUS_CODE]],
"")
)</f>
        <v/>
      </c>
      <c r="Y4" s="17"/>
      <c r="Z4" s="10" t="s">
        <v>171</v>
      </c>
      <c r="AA4" s="10"/>
      <c r="AB4" s="10"/>
      <c r="AC4" s="10"/>
      <c r="AD4" s="10"/>
      <c r="AE4" s="7"/>
    </row>
    <row r="5" spans="1:31" x14ac:dyDescent="0.3">
      <c r="A5" s="10"/>
      <c r="B5" s="17"/>
      <c r="C5" s="54" t="s">
        <v>116</v>
      </c>
      <c r="D5" s="1" t="b">
        <v>0</v>
      </c>
      <c r="E5" s="24" t="b">
        <v>0</v>
      </c>
      <c r="F5" s="2" t="s">
        <v>165</v>
      </c>
      <c r="G5" s="30">
        <f ca="1">COUNTIF(DB_TBL_DATA_FIELDS[FIELD_STATUS_CODE],0)</f>
        <v>0</v>
      </c>
      <c r="H5" s="10"/>
      <c r="I5" s="2" t="b">
        <f ca="1">(DB_TBL_DATA_FIELDS[[#This Row],[FIELD_VALUE_RAW]]="")</f>
        <v>0</v>
      </c>
      <c r="J5" s="2" t="s">
        <v>40</v>
      </c>
      <c r="K5" s="7" t="b">
        <f>AND(IF(DB_TBL_DATA_FIELDS[[#This Row],[FIELD_VALID_CUSTOM_LOGIC]]="",TRUE,DB_TBL_DATA_FIELDS[[#This Row],[FIELD_VALID_CUSTOM_LOGIC]]),DB_TBL_DATA_FIELDS[[#This Row],[RANGE_VALIDATION_PASSED_FLAG]])</f>
        <v>1</v>
      </c>
      <c r="L5" s="10">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0</v>
      </c>
      <c r="M5" s="326" t="str">
        <f>IF(DB_TBL_DATA_FIELDS[[#This Row],[SHEET_REF_CALC]]="","",IF(DB_TBL_DATA_FIELDS[[#This Row],[FIELD_EMPTY_FLAG]],IF(NOT(DB_TBL_DATA_FIELDS[[#This Row],[FIELD_REQ_FLAG]]),-1,1),IF(NOT(DB_TBL_DATA_FIELDS[[#This Row],[FIELD_VALID_FLAG]]),0,2)))</f>
        <v/>
      </c>
      <c r="N5" s="7" t="str">
        <f>IFERROR(VLOOKUP(DB_TBL_DATA_FIELDS[[#This Row],[FIELD_STATUS_CODE]],DB_TBL_CONFIG_FIELDSTATUSCODES[#All],3,FALSE),"")</f>
        <v/>
      </c>
      <c r="O5" s="7" t="str">
        <f>IFERROR(VLOOKUP(DB_TBL_DATA_FIELDS[[#This Row],[FIELD_STATUS_CODE]],DB_TBL_CONFIG_FIELDSTATUSCODES[#All],4,FALSE),"")</f>
        <v/>
      </c>
      <c r="P5" s="7" t="b">
        <f>TRUE</f>
        <v>1</v>
      </c>
      <c r="Q5" s="7" t="b">
        <v>0</v>
      </c>
      <c r="S5" s="7">
        <f ca="1">IF(DB_TBL_DATA_FIELDS[[#This Row],[RANGE_VALIDATION_FLAG]]="Text",LEN(DB_TBL_DATA_FIELDS[[#This Row],[FIELD_VALUE_RAW]]),IFERROR(VALUE(DB_TBL_DATA_FIELDS[[#This Row],[FIELD_VALUE_RAW]]),-1))</f>
        <v>0</v>
      </c>
      <c r="T5" s="7"/>
      <c r="U5" s="7"/>
      <c r="V5" s="7" t="b">
        <f>IF(NOT(DB_TBL_DATA_FIELDS[[#This Row],[RANGE_VALIDATION_ON_FLAG]]),TRUE,
AND(DB_TBL_DATA_FIELDS[[#This Row],[RANGE_VALUE_LEN]]&gt;=DB_TBL_DATA_FIELDS[[#This Row],[RANGE_VALIDATION_MIN]],DB_TBL_DATA_FIELDS[[#This Row],[RANGE_VALUE_LEN]]&lt;=DB_TBL_DATA_FIELDS[[#This Row],[RANGE_VALIDATION_MAX]]))</f>
        <v>1</v>
      </c>
      <c r="W5" s="17">
        <v>0</v>
      </c>
      <c r="X5" s="17" t="str">
        <f>IF(DB_TBL_DATA_FIELDS[[#This Row],[PCT_CALC_SHOW_STATUS_CODE]]=1,
DB_TBL_DATA_FIELDS[[#This Row],[FIELD_STATUS_CODE]],
IF(AND(DB_TBL_DATA_FIELDS[[#This Row],[PCT_CALC_SHOW_STATUS_CODE]]=2,DB_TBL_DATA_FIELDS[[#This Row],[FIELD_STATUS_CODE]]=0),
DB_TBL_DATA_FIELDS[[#This Row],[FIELD_STATUS_CODE]],
"")
)</f>
        <v/>
      </c>
      <c r="Y5" s="17"/>
      <c r="Z5" s="10" t="s">
        <v>171</v>
      </c>
      <c r="AA5" s="10"/>
      <c r="AB5" s="10"/>
      <c r="AC5" s="10"/>
      <c r="AD5" s="10"/>
      <c r="AE5" s="7"/>
    </row>
    <row r="6" spans="1:31" x14ac:dyDescent="0.3">
      <c r="A6" s="10"/>
      <c r="B6" s="17"/>
      <c r="C6" s="54" t="s">
        <v>167</v>
      </c>
      <c r="D6" s="1" t="b">
        <v>0</v>
      </c>
      <c r="E6" s="24" t="b">
        <v>0</v>
      </c>
      <c r="F6" s="2" t="s">
        <v>166</v>
      </c>
      <c r="G6" s="30">
        <f ca="1">G3/G4</f>
        <v>0</v>
      </c>
      <c r="H6" s="10"/>
      <c r="I6" s="2" t="b">
        <f ca="1">(DB_TBL_DATA_FIELDS[[#This Row],[FIELD_VALUE_RAW]]="")</f>
        <v>0</v>
      </c>
      <c r="J6" s="2" t="s">
        <v>40</v>
      </c>
      <c r="K6" s="7" t="b">
        <f>AND(IF(DB_TBL_DATA_FIELDS[[#This Row],[FIELD_VALID_CUSTOM_LOGIC]]="",TRUE,DB_TBL_DATA_FIELDS[[#This Row],[FIELD_VALID_CUSTOM_LOGIC]]),DB_TBL_DATA_FIELDS[[#This Row],[RANGE_VALIDATION_PASSED_FLAG]])</f>
        <v>1</v>
      </c>
      <c r="L6" s="10">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0</v>
      </c>
      <c r="M6" s="326" t="str">
        <f>IF(DB_TBL_DATA_FIELDS[[#This Row],[SHEET_REF_CALC]]="","",IF(DB_TBL_DATA_FIELDS[[#This Row],[FIELD_EMPTY_FLAG]],IF(NOT(DB_TBL_DATA_FIELDS[[#This Row],[FIELD_REQ_FLAG]]),-1,1),IF(NOT(DB_TBL_DATA_FIELDS[[#This Row],[FIELD_VALID_FLAG]]),0,2)))</f>
        <v/>
      </c>
      <c r="N6" s="7" t="str">
        <f>IFERROR(VLOOKUP(DB_TBL_DATA_FIELDS[[#This Row],[FIELD_STATUS_CODE]],DB_TBL_CONFIG_FIELDSTATUSCODES[#All],3,FALSE),"")</f>
        <v/>
      </c>
      <c r="O6" s="7" t="str">
        <f>IFERROR(VLOOKUP(DB_TBL_DATA_FIELDS[[#This Row],[FIELD_STATUS_CODE]],DB_TBL_CONFIG_FIELDSTATUSCODES[#All],4,FALSE),"")</f>
        <v/>
      </c>
      <c r="P6" s="7" t="b">
        <f>TRUE</f>
        <v>1</v>
      </c>
      <c r="Q6" s="7" t="b">
        <v>0</v>
      </c>
      <c r="S6" s="7">
        <f ca="1">IF(DB_TBL_DATA_FIELDS[[#This Row],[RANGE_VALIDATION_FLAG]]="Text",LEN(DB_TBL_DATA_FIELDS[[#This Row],[FIELD_VALUE_RAW]]),IFERROR(VALUE(DB_TBL_DATA_FIELDS[[#This Row],[FIELD_VALUE_RAW]]),-1))</f>
        <v>0</v>
      </c>
      <c r="T6" s="7"/>
      <c r="U6" s="7"/>
      <c r="V6" s="7" t="b">
        <f>IF(NOT(DB_TBL_DATA_FIELDS[[#This Row],[RANGE_VALIDATION_ON_FLAG]]),TRUE,
AND(DB_TBL_DATA_FIELDS[[#This Row],[RANGE_VALUE_LEN]]&gt;=DB_TBL_DATA_FIELDS[[#This Row],[RANGE_VALIDATION_MIN]],DB_TBL_DATA_FIELDS[[#This Row],[RANGE_VALUE_LEN]]&lt;=DB_TBL_DATA_FIELDS[[#This Row],[RANGE_VALIDATION_MAX]]))</f>
        <v>1</v>
      </c>
      <c r="W6" s="17">
        <v>0</v>
      </c>
      <c r="X6" s="17" t="str">
        <f>IF(DB_TBL_DATA_FIELDS[[#This Row],[PCT_CALC_SHOW_STATUS_CODE]]=1,
DB_TBL_DATA_FIELDS[[#This Row],[FIELD_STATUS_CODE]],
IF(AND(DB_TBL_DATA_FIELDS[[#This Row],[PCT_CALC_SHOW_STATUS_CODE]]=2,DB_TBL_DATA_FIELDS[[#This Row],[FIELD_STATUS_CODE]]=0),
DB_TBL_DATA_FIELDS[[#This Row],[FIELD_STATUS_CODE]],
"")
)</f>
        <v/>
      </c>
      <c r="Y6" s="17"/>
      <c r="Z6" s="10" t="s">
        <v>171</v>
      </c>
      <c r="AA6" s="10"/>
      <c r="AB6" s="10"/>
      <c r="AC6" s="10"/>
      <c r="AD6" s="10"/>
      <c r="AE6" s="7"/>
    </row>
    <row r="7" spans="1:31" x14ac:dyDescent="0.3">
      <c r="A7" s="10"/>
      <c r="B7" s="17"/>
      <c r="C7" s="54" t="s">
        <v>143</v>
      </c>
      <c r="D7" s="53" t="b">
        <v>1</v>
      </c>
      <c r="E7" s="25" t="b">
        <v>0</v>
      </c>
      <c r="F7" s="2" t="s">
        <v>2638</v>
      </c>
      <c r="G7" s="30">
        <f ca="1">IF(G6=1,1,0)</f>
        <v>0</v>
      </c>
      <c r="H7" s="19"/>
      <c r="I7" s="18" t="b">
        <f ca="1">(DB_TBL_DATA_FIELDS[[#This Row],[FIELD_VALUE_RAW]]="")</f>
        <v>0</v>
      </c>
      <c r="J7" s="18" t="s">
        <v>168</v>
      </c>
      <c r="K7" s="17" t="b">
        <f>AND(IF(DB_TBL_DATA_FIELDS[[#This Row],[FIELD_VALID_CUSTOM_LOGIC]]="",TRUE,DB_TBL_DATA_FIELDS[[#This Row],[FIELD_VALID_CUSTOM_LOGIC]]),DB_TBL_DATA_FIELDS[[#This Row],[RANGE_VALIDATION_PASSED_FLAG]])</f>
        <v>1</v>
      </c>
      <c r="L7" s="19"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N</v>
      </c>
      <c r="M7" s="327" t="str">
        <f>IF(DB_TBL_DATA_FIELDS[[#This Row],[SHEET_REF_CALC]]="","",IF(DB_TBL_DATA_FIELDS[[#This Row],[FIELD_EMPTY_FLAG]],IF(NOT(DB_TBL_DATA_FIELDS[[#This Row],[FIELD_REQ_FLAG]]),-1,1),IF(NOT(DB_TBL_DATA_FIELDS[[#This Row],[FIELD_VALID_FLAG]]),0,2)))</f>
        <v/>
      </c>
      <c r="N7" s="17" t="str">
        <f>IFERROR(VLOOKUP(DB_TBL_DATA_FIELDS[[#This Row],[FIELD_STATUS_CODE]],DB_TBL_CONFIG_FIELDSTATUSCODES[#All],3,FALSE),"")</f>
        <v/>
      </c>
      <c r="O7" s="17" t="str">
        <f>IFERROR(VLOOKUP(DB_TBL_DATA_FIELDS[[#This Row],[FIELD_STATUS_CODE]],DB_TBL_CONFIG_FIELDSTATUSCODES[#All],4,FALSE),"")</f>
        <v/>
      </c>
      <c r="P7" s="17" t="b">
        <f>TRUE</f>
        <v>1</v>
      </c>
      <c r="Q7" s="17" t="b">
        <v>0</v>
      </c>
      <c r="R7" s="16"/>
      <c r="S7" s="17">
        <f ca="1">IF(DB_TBL_DATA_FIELDS[[#This Row],[RANGE_VALIDATION_FLAG]]="Text",LEN(DB_TBL_DATA_FIELDS[[#This Row],[FIELD_VALUE_RAW]]),IFERROR(VALUE(DB_TBL_DATA_FIELDS[[#This Row],[FIELD_VALUE_RAW]]),-1))</f>
        <v>0</v>
      </c>
      <c r="T7" s="17">
        <v>0</v>
      </c>
      <c r="U7" s="17">
        <v>1</v>
      </c>
      <c r="V7" s="17" t="b">
        <f>IF(NOT(DB_TBL_DATA_FIELDS[[#This Row],[RANGE_VALIDATION_ON_FLAG]]),TRUE,
AND(DB_TBL_DATA_FIELDS[[#This Row],[RANGE_VALUE_LEN]]&gt;=DB_TBL_DATA_FIELDS[[#This Row],[RANGE_VALIDATION_MIN]],DB_TBL_DATA_FIELDS[[#This Row],[RANGE_VALUE_LEN]]&lt;=DB_TBL_DATA_FIELDS[[#This Row],[RANGE_VALIDATION_MAX]]))</f>
        <v>1</v>
      </c>
      <c r="W7" s="17">
        <v>0</v>
      </c>
      <c r="X7" s="17" t="str">
        <f>IF(DB_TBL_DATA_FIELDS[[#This Row],[PCT_CALC_SHOW_STATUS_CODE]]=1,
DB_TBL_DATA_FIELDS[[#This Row],[FIELD_STATUS_CODE]],
IF(AND(DB_TBL_DATA_FIELDS[[#This Row],[PCT_CALC_SHOW_STATUS_CODE]]=2,DB_TBL_DATA_FIELDS[[#This Row],[FIELD_STATUS_CODE]]=0),
DB_TBL_DATA_FIELDS[[#This Row],[FIELD_STATUS_CODE]],
"")
)</f>
        <v/>
      </c>
      <c r="Y7" s="17"/>
      <c r="Z7" s="10" t="s">
        <v>171</v>
      </c>
      <c r="AA7" s="10"/>
      <c r="AB7" s="10"/>
      <c r="AC7" s="10"/>
      <c r="AD7" s="10"/>
      <c r="AE7" s="7"/>
    </row>
    <row r="8" spans="1:31" s="4" customFormat="1" x14ac:dyDescent="0.3">
      <c r="A8" s="12"/>
      <c r="B8" s="22"/>
      <c r="C8" s="33" t="s">
        <v>2351</v>
      </c>
      <c r="D8" s="33" t="b">
        <v>1</v>
      </c>
      <c r="E8" s="26" t="b">
        <v>1</v>
      </c>
      <c r="F8" s="6" t="s">
        <v>2639</v>
      </c>
      <c r="G8" s="30">
        <f>'$DB.CONFIG'!D5</f>
        <v>2026</v>
      </c>
      <c r="H8" s="12"/>
      <c r="I8" s="6" t="b">
        <f>(DB_TBL_DATA_FIELDS[[#This Row],[FIELD_VALUE_RAW]]="")</f>
        <v>0</v>
      </c>
      <c r="J8" s="6" t="s">
        <v>9</v>
      </c>
      <c r="K8" s="8" t="b">
        <f>AND(IF(DB_TBL_DATA_FIELDS[[#This Row],[FIELD_VALID_CUSTOM_LOGIC]]="",TRUE,DB_TBL_DATA_FIELDS[[#This Row],[FIELD_VALID_CUSTOM_LOGIC]]),DB_TBL_DATA_FIELDS[[#This Row],[RANGE_VALIDATION_PASSED_FLAG]])</f>
        <v>1</v>
      </c>
      <c r="L8" s="12" t="str">
        <f>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2026</v>
      </c>
      <c r="M8" s="328" t="str">
        <f>IF(DB_TBL_DATA_FIELDS[[#This Row],[SHEET_REF_CALC]]="","",IF(DB_TBL_DATA_FIELDS[[#This Row],[FIELD_EMPTY_FLAG]],IF(NOT(DB_TBL_DATA_FIELDS[[#This Row],[FIELD_REQ_FLAG]]),-1,1),IF(NOT(DB_TBL_DATA_FIELDS[[#This Row],[FIELD_VALID_FLAG]]),0,2)))</f>
        <v/>
      </c>
      <c r="N8" s="8" t="str">
        <f>IFERROR(VLOOKUP(DB_TBL_DATA_FIELDS[[#This Row],[FIELD_STATUS_CODE]],DB_TBL_CONFIG_FIELDSTATUSCODES[#All],3,FALSE),"")</f>
        <v/>
      </c>
      <c r="O8" s="8" t="str">
        <f>IFERROR(VLOOKUP(DB_TBL_DATA_FIELDS[[#This Row],[FIELD_STATUS_CODE]],DB_TBL_CONFIG_FIELDSTATUSCODES[#All],4,FALSE),"")</f>
        <v/>
      </c>
      <c r="P8" s="8" t="b">
        <f>TRUE</f>
        <v>1</v>
      </c>
      <c r="Q8" s="8" t="b">
        <v>1</v>
      </c>
      <c r="R8" s="4" t="s">
        <v>9</v>
      </c>
      <c r="S8" s="8">
        <f>IF(DB_TBL_DATA_FIELDS[[#This Row],[RANGE_VALIDATION_FLAG]]="Text",LEN(DB_TBL_DATA_FIELDS[[#This Row],[FIELD_VALUE_RAW]]),IFERROR(VALUE(DB_TBL_DATA_FIELDS[[#This Row],[FIELD_VALUE_RAW]]),-1))</f>
        <v>4</v>
      </c>
      <c r="T8" s="8">
        <v>0</v>
      </c>
      <c r="U8" s="8">
        <v>4</v>
      </c>
      <c r="V8" s="8" t="b">
        <f>IF(NOT(DB_TBL_DATA_FIELDS[[#This Row],[RANGE_VALIDATION_ON_FLAG]]),TRUE,
AND(DB_TBL_DATA_FIELDS[[#This Row],[RANGE_VALUE_LEN]]&gt;=DB_TBL_DATA_FIELDS[[#This Row],[RANGE_VALIDATION_MIN]],DB_TBL_DATA_FIELDS[[#This Row],[RANGE_VALUE_LEN]]&lt;=DB_TBL_DATA_FIELDS[[#This Row],[RANGE_VALIDATION_MAX]]))</f>
        <v>1</v>
      </c>
      <c r="W8" s="22">
        <v>0</v>
      </c>
      <c r="X8" s="22" t="str">
        <f>IF(DB_TBL_DATA_FIELDS[[#This Row],[PCT_CALC_SHOW_STATUS_CODE]]=1,
DB_TBL_DATA_FIELDS[[#This Row],[FIELD_STATUS_CODE]],
IF(AND(DB_TBL_DATA_FIELDS[[#This Row],[PCT_CALC_SHOW_STATUS_CODE]]=2,DB_TBL_DATA_FIELDS[[#This Row],[FIELD_STATUS_CODE]]=0),
DB_TBL_DATA_FIELDS[[#This Row],[FIELD_STATUS_CODE]],
"")
)</f>
        <v/>
      </c>
      <c r="Y8" s="22"/>
      <c r="Z8" s="12" t="s">
        <v>171</v>
      </c>
      <c r="AA8" s="12"/>
      <c r="AB8" s="12"/>
      <c r="AC8" s="12"/>
      <c r="AD8" s="12"/>
      <c r="AE8" s="8"/>
    </row>
    <row r="9" spans="1:31" ht="13.5" thickBot="1" x14ac:dyDescent="0.35">
      <c r="A9" s="62"/>
      <c r="B9" s="58"/>
      <c r="C9" s="55" t="s">
        <v>2770</v>
      </c>
      <c r="D9" s="55" t="b">
        <v>0</v>
      </c>
      <c r="E9" s="60"/>
      <c r="F9" s="61" t="s">
        <v>2772</v>
      </c>
      <c r="G9" s="322" t="s">
        <v>2771</v>
      </c>
      <c r="H9" s="62"/>
      <c r="I9" s="61" t="b">
        <f>(DB_TBL_DATA_FIELDS[[#This Row],[FIELD_VALUE_RAW]]="")</f>
        <v>0</v>
      </c>
      <c r="J9" s="61"/>
      <c r="K9" s="58" t="b">
        <f>AND(IF(DB_TBL_DATA_FIELDS[[#This Row],[FIELD_VALID_CUSTOM_LOGIC]]="",TRUE,DB_TBL_DATA_FIELDS[[#This Row],[FIELD_VALID_CUSTOM_LOGIC]]),DB_TBL_DATA_FIELDS[[#This Row],[RANGE_VALIDATION_PASSED_FLAG]])</f>
        <v>1</v>
      </c>
      <c r="L9" s="62" t="str">
        <f>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AHEAD</v>
      </c>
      <c r="M9" s="329" t="str">
        <f>IF(DB_TBL_DATA_FIELDS[[#This Row],[SHEET_REF_CALC]]="","",IF(DB_TBL_DATA_FIELDS[[#This Row],[FIELD_EMPTY_FLAG]],IF(NOT(DB_TBL_DATA_FIELDS[[#This Row],[FIELD_REQ_FLAG]]),-1,1),IF(NOT(DB_TBL_DATA_FIELDS[[#This Row],[FIELD_VALID_FLAG]]),0,2)))</f>
        <v/>
      </c>
      <c r="N9" s="58" t="str">
        <f>IFERROR(VLOOKUP(DB_TBL_DATA_FIELDS[[#This Row],[FIELD_STATUS_CODE]],DB_TBL_CONFIG_FIELDSTATUSCODES[#All],3,FALSE),"")</f>
        <v/>
      </c>
      <c r="O9" s="58" t="str">
        <f>IFERROR(VLOOKUP(DB_TBL_DATA_FIELDS[[#This Row],[FIELD_STATUS_CODE]],DB_TBL_CONFIG_FIELDSTATUSCODES[#All],4,FALSE),"")</f>
        <v/>
      </c>
      <c r="P9" s="58" t="b">
        <f>TRUE</f>
        <v>1</v>
      </c>
      <c r="Q9" s="58" t="b">
        <v>0</v>
      </c>
      <c r="R9" s="57"/>
      <c r="S9" s="58">
        <f>IF(DB_TBL_DATA_FIELDS[[#This Row],[RANGE_VALIDATION_FLAG]]="Text",LEN(DB_TBL_DATA_FIELDS[[#This Row],[FIELD_VALUE_RAW]]),IFERROR(VALUE(DB_TBL_DATA_FIELDS[[#This Row],[FIELD_VALUE_RAW]]),-1))</f>
        <v>-1</v>
      </c>
      <c r="T9" s="58"/>
      <c r="U9" s="58"/>
      <c r="V9" s="58" t="b">
        <f>IF(NOT(DB_TBL_DATA_FIELDS[[#This Row],[RANGE_VALIDATION_ON_FLAG]]),TRUE,
AND(DB_TBL_DATA_FIELDS[[#This Row],[RANGE_VALUE_LEN]]&gt;=DB_TBL_DATA_FIELDS[[#This Row],[RANGE_VALIDATION_MIN]],DB_TBL_DATA_FIELDS[[#This Row],[RANGE_VALUE_LEN]]&lt;=DB_TBL_DATA_FIELDS[[#This Row],[RANGE_VALIDATION_MAX]]))</f>
        <v>1</v>
      </c>
      <c r="W9" s="58"/>
      <c r="X9" s="58" t="str">
        <f>IF(DB_TBL_DATA_FIELDS[[#This Row],[PCT_CALC_SHOW_STATUS_CODE]]=1,
DB_TBL_DATA_FIELDS[[#This Row],[FIELD_STATUS_CODE]],
IF(AND(DB_TBL_DATA_FIELDS[[#This Row],[PCT_CALC_SHOW_STATUS_CODE]]=2,DB_TBL_DATA_FIELDS[[#This Row],[FIELD_STATUS_CODE]]=0),
DB_TBL_DATA_FIELDS[[#This Row],[FIELD_STATUS_CODE]],
"")
)</f>
        <v/>
      </c>
      <c r="Y9" s="58"/>
      <c r="Z9" s="62"/>
      <c r="AA9" s="62"/>
      <c r="AB9" s="62"/>
      <c r="AC9" s="62"/>
      <c r="AD9" s="62"/>
      <c r="AE9" s="58" t="s">
        <v>2795</v>
      </c>
    </row>
    <row r="10" spans="1:31" x14ac:dyDescent="0.3">
      <c r="A10" s="10" t="s">
        <v>2790</v>
      </c>
      <c r="B10" s="7" t="str">
        <f>IFERROR(IF(FIND(DATA_EFORM_TYPE_CODE,DB_TBL_DATA_FIELDS[[#This Row],[APPLICABLE_EFORM_LIST]])&gt;0,DATA_EFORM_TYPE_CODE,""),"")</f>
        <v>AHEAD</v>
      </c>
      <c r="C10" s="33" t="s">
        <v>38</v>
      </c>
      <c r="D10" s="54" t="b">
        <v>1</v>
      </c>
      <c r="E10" s="26" t="b">
        <v>1</v>
      </c>
      <c r="F10" s="6" t="s">
        <v>39</v>
      </c>
      <c r="G10" s="10" t="str">
        <f ca="1">IFERROR(VLOOKUP(DB_TBL_DATA_FIELDS[[#This Row],[FIELD_ID]],INDIRECT(DB_TBL_DATA_FIELDS[[#This Row],[SHEET_REF_CALC]]&amp;"!A:B"),2,FALSE),"")</f>
        <v/>
      </c>
      <c r="H10" s="6"/>
      <c r="I10" s="6" t="b">
        <f ca="1">(DB_TBL_DATA_FIELDS[[#This Row],[FIELD_VALUE_RAW]]="")</f>
        <v>1</v>
      </c>
      <c r="J10" s="6" t="s">
        <v>9</v>
      </c>
      <c r="K10" s="8" t="b">
        <f ca="1">AND(IF(DB_TBL_DATA_FIELDS[[#This Row],[FIELD_VALID_CUSTOM_LOGIC]]="",TRUE,DB_TBL_DATA_FIELDS[[#This Row],[FIELD_VALID_CUSTOM_LOGIC]]),DB_TBL_DATA_FIELDS[[#This Row],[RANGE_VALIDATION_PASSED_FLAG]])</f>
        <v>1</v>
      </c>
      <c r="L10"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0" s="328">
        <f ca="1">IF(DB_TBL_DATA_FIELDS[[#This Row],[SHEET_REF_CALC]]="","",IF(DB_TBL_DATA_FIELDS[[#This Row],[FIELD_EMPTY_FLAG]],IF(NOT(DB_TBL_DATA_FIELDS[[#This Row],[FIELD_REQ_FLAG]]),-1,1),IF(NOT(DB_TBL_DATA_FIELDS[[#This Row],[FIELD_VALID_FLAG]]),0,2)))</f>
        <v>1</v>
      </c>
      <c r="N10" s="8" t="str">
        <f ca="1">IFERROR(VLOOKUP(DB_TBL_DATA_FIELDS[[#This Row],[FIELD_STATUS_CODE]],DB_TBL_CONFIG_FIELDSTATUSCODES[#All],3,FALSE),"")</f>
        <v>Required</v>
      </c>
      <c r="O10" s="8" t="str">
        <f ca="1">IFERROR(VLOOKUP(DB_TBL_DATA_FIELDS[[#This Row],[FIELD_STATUS_CODE]],DB_TBL_CONFIG_FIELDSTATUSCODES[#All],4,FALSE),"")</f>
        <v>i</v>
      </c>
      <c r="P10" s="7" t="b">
        <v>1</v>
      </c>
      <c r="Q10" s="8" t="b">
        <f>TRUE</f>
        <v>1</v>
      </c>
      <c r="R10" s="4" t="s">
        <v>9</v>
      </c>
      <c r="S10" s="8">
        <f ca="1">IF(DB_TBL_DATA_FIELDS[[#This Row],[RANGE_VALIDATION_FLAG]]="Text",LEN(DB_TBL_DATA_FIELDS[[#This Row],[FIELD_VALUE_RAW]]),IFERROR(VALUE(DB_TBL_DATA_FIELDS[[#This Row],[FIELD_VALUE_RAW]]),-1))</f>
        <v>0</v>
      </c>
      <c r="T10" s="8">
        <v>0</v>
      </c>
      <c r="U10" s="35">
        <v>60</v>
      </c>
      <c r="V10" s="8" t="b">
        <f ca="1">IF(NOT(DB_TBL_DATA_FIELDS[[#This Row],[RANGE_VALIDATION_ON_FLAG]]),TRUE,
AND(DB_TBL_DATA_FIELDS[[#This Row],[RANGE_VALUE_LEN]]&gt;=DB_TBL_DATA_FIELDS[[#This Row],[RANGE_VALIDATION_MIN]],DB_TBL_DATA_FIELDS[[#This Row],[RANGE_VALUE_LEN]]&lt;=DB_TBL_DATA_FIELDS[[#This Row],[RANGE_VALIDATION_MAX]]))</f>
        <v>1</v>
      </c>
      <c r="W10" s="17">
        <v>1</v>
      </c>
      <c r="X10" s="17">
        <f ca="1">IF(DB_TBL_DATA_FIELDS[[#This Row],[PCT_CALC_SHOW_STATUS_CODE]]=1,
DB_TBL_DATA_FIELDS[[#This Row],[FIELD_STATUS_CODE]],
IF(AND(DB_TBL_DATA_FIELDS[[#This Row],[PCT_CALC_SHOW_STATUS_CODE]]=2,DB_TBL_DATA_FIELDS[[#This Row],[FIELD_STATUS_CODE]]=0),
DB_TBL_DATA_FIELDS[[#This Row],[FIELD_STATUS_CODE]],
"")
)</f>
        <v>1</v>
      </c>
      <c r="Y10" s="17"/>
      <c r="Z10" s="12" t="s">
        <v>2250</v>
      </c>
      <c r="AA10" s="12" t="s">
        <v>2419</v>
      </c>
      <c r="AB10" s="12" t="s">
        <v>2640</v>
      </c>
      <c r="AC10" s="12" t="s">
        <v>2651</v>
      </c>
      <c r="AD10" s="12"/>
      <c r="AE10" s="8"/>
    </row>
    <row r="11" spans="1:31" x14ac:dyDescent="0.3">
      <c r="A11" s="10" t="s">
        <v>2790</v>
      </c>
      <c r="B11" s="7" t="str">
        <f>IFERROR(IF(FIND(DATA_EFORM_TYPE_CODE,DB_TBL_DATA_FIELDS[[#This Row],[APPLICABLE_EFORM_LIST]])&gt;0,DATA_EFORM_TYPE_CODE,""),"")</f>
        <v>AHEAD</v>
      </c>
      <c r="C11" s="33" t="s">
        <v>138</v>
      </c>
      <c r="D11" s="16" t="b">
        <v>1</v>
      </c>
      <c r="E11" s="36" t="b">
        <v>1</v>
      </c>
      <c r="F11" s="6" t="s">
        <v>52</v>
      </c>
      <c r="G11" s="10" t="str">
        <f ca="1">IFERROR(VLOOKUP(DB_TBL_DATA_FIELDS[[#This Row],[FIELD_ID]],INDIRECT(DB_TBL_DATA_FIELDS[[#This Row],[SHEET_REF_CALC]]&amp;"!A:B"),2,FALSE),"")</f>
        <v/>
      </c>
      <c r="H11" s="12"/>
      <c r="I11" s="6" t="b">
        <f ca="1">(DB_TBL_DATA_FIELDS[[#This Row],[FIELD_VALUE_RAW]]="")</f>
        <v>1</v>
      </c>
      <c r="J11" s="6" t="s">
        <v>9</v>
      </c>
      <c r="K11" s="8" t="b">
        <f ca="1">AND(IF(DB_TBL_DATA_FIELDS[[#This Row],[FIELD_VALID_CUSTOM_LOGIC]]="",TRUE,DB_TBL_DATA_FIELDS[[#This Row],[FIELD_VALID_CUSTOM_LOGIC]]),DB_TBL_DATA_FIELDS[[#This Row],[RANGE_VALIDATION_PASSED_FLAG]])</f>
        <v>1</v>
      </c>
      <c r="L11"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1" s="328">
        <f ca="1">IF(DB_TBL_DATA_FIELDS[[#This Row],[SHEET_REF_CALC]]="","",IF(DB_TBL_DATA_FIELDS[[#This Row],[FIELD_EMPTY_FLAG]],IF(NOT(DB_TBL_DATA_FIELDS[[#This Row],[FIELD_REQ_FLAG]]),-1,1),IF(NOT(DB_TBL_DATA_FIELDS[[#This Row],[FIELD_VALID_FLAG]]),0,2)))</f>
        <v>1</v>
      </c>
      <c r="N11" s="8" t="str">
        <f ca="1">IFERROR(VLOOKUP(DB_TBL_DATA_FIELDS[[#This Row],[FIELD_STATUS_CODE]],DB_TBL_CONFIG_FIELDSTATUSCODES[#All],3,FALSE),"")</f>
        <v>Required</v>
      </c>
      <c r="O11" s="8" t="str">
        <f ca="1">IFERROR(VLOOKUP(DB_TBL_DATA_FIELDS[[#This Row],[FIELD_STATUS_CODE]],DB_TBL_CONFIG_FIELDSTATUSCODES[#All],4,FALSE),"")</f>
        <v>i</v>
      </c>
      <c r="P11" s="7" t="b">
        <v>1</v>
      </c>
      <c r="Q11" s="8" t="b">
        <f>TRUE</f>
        <v>1</v>
      </c>
      <c r="R11" s="4" t="s">
        <v>9</v>
      </c>
      <c r="S11" s="8">
        <f ca="1">IF(DB_TBL_DATA_FIELDS[[#This Row],[RANGE_VALIDATION_FLAG]]="Text",LEN(DB_TBL_DATA_FIELDS[[#This Row],[FIELD_VALUE_RAW]]),IFERROR(VALUE(DB_TBL_DATA_FIELDS[[#This Row],[FIELD_VALUE_RAW]]),-1))</f>
        <v>0</v>
      </c>
      <c r="T11" s="8">
        <v>0</v>
      </c>
      <c r="U11" s="35">
        <v>250</v>
      </c>
      <c r="V11" s="8" t="b">
        <f ca="1">IF(NOT(DB_TBL_DATA_FIELDS[[#This Row],[RANGE_VALIDATION_ON_FLAG]]),TRUE,
AND(DB_TBL_DATA_FIELDS[[#This Row],[RANGE_VALUE_LEN]]&gt;=DB_TBL_DATA_FIELDS[[#This Row],[RANGE_VALIDATION_MIN]],DB_TBL_DATA_FIELDS[[#This Row],[RANGE_VALUE_LEN]]&lt;=DB_TBL_DATA_FIELDS[[#This Row],[RANGE_VALIDATION_MAX]]))</f>
        <v>1</v>
      </c>
      <c r="W11" s="17">
        <v>1</v>
      </c>
      <c r="X11" s="17">
        <f ca="1">IF(DB_TBL_DATA_FIELDS[[#This Row],[PCT_CALC_SHOW_STATUS_CODE]]=1,
DB_TBL_DATA_FIELDS[[#This Row],[FIELD_STATUS_CODE]],
IF(AND(DB_TBL_DATA_FIELDS[[#This Row],[PCT_CALC_SHOW_STATUS_CODE]]=2,DB_TBL_DATA_FIELDS[[#This Row],[FIELD_STATUS_CODE]]=0),
DB_TBL_DATA_FIELDS[[#This Row],[FIELD_STATUS_CODE]],
"")
)</f>
        <v>1</v>
      </c>
      <c r="Y11" s="17"/>
      <c r="Z11" s="12" t="s">
        <v>2251</v>
      </c>
      <c r="AA11" s="12" t="s">
        <v>2419</v>
      </c>
      <c r="AB11" s="12" t="s">
        <v>2641</v>
      </c>
      <c r="AC11" s="12" t="s">
        <v>2651</v>
      </c>
      <c r="AD11" s="12"/>
      <c r="AE11" s="8"/>
    </row>
    <row r="12" spans="1:31" x14ac:dyDescent="0.3">
      <c r="A12" s="10" t="s">
        <v>2790</v>
      </c>
      <c r="B12" s="7" t="str">
        <f>IFERROR(IF(FIND(DATA_EFORM_TYPE_CODE,DB_TBL_DATA_FIELDS[[#This Row],[APPLICABLE_EFORM_LIST]])&gt;0,DATA_EFORM_TYPE_CODE,""),"")</f>
        <v>AHEAD</v>
      </c>
      <c r="C12" s="54" t="s">
        <v>139</v>
      </c>
      <c r="D12" s="16" t="b">
        <v>1</v>
      </c>
      <c r="E12" s="24" t="b">
        <v>1</v>
      </c>
      <c r="F12" s="2" t="s">
        <v>56</v>
      </c>
      <c r="G12" s="10" t="str">
        <f ca="1">IFERROR(VLOOKUP(DB_TBL_DATA_FIELDS[[#This Row],[FIELD_ID]],INDIRECT(DB_TBL_DATA_FIELDS[[#This Row],[SHEET_REF_CALC]]&amp;"!A:B"),2,FALSE),"")</f>
        <v/>
      </c>
      <c r="H12" s="6"/>
      <c r="I12" s="2" t="b">
        <f ca="1">(DB_TBL_DATA_FIELDS[[#This Row],[FIELD_VALUE_RAW]]="")</f>
        <v>1</v>
      </c>
      <c r="J12" s="6" t="s">
        <v>9</v>
      </c>
      <c r="K12" s="7" t="b">
        <f ca="1">AND(IF(DB_TBL_DATA_FIELDS[[#This Row],[FIELD_VALID_CUSTOM_LOGIC]]="",TRUE,DB_TBL_DATA_FIELDS[[#This Row],[FIELD_VALID_CUSTOM_LOGIC]]),DB_TBL_DATA_FIELDS[[#This Row],[RANGE_VALIDATION_PASSED_FLAG]])</f>
        <v>1</v>
      </c>
      <c r="L12"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2" s="326">
        <f ca="1">IF(DB_TBL_DATA_FIELDS[[#This Row],[SHEET_REF_CALC]]="","",IF(DB_TBL_DATA_FIELDS[[#This Row],[FIELD_EMPTY_FLAG]],IF(NOT(DB_TBL_DATA_FIELDS[[#This Row],[FIELD_REQ_FLAG]]),-1,1),IF(NOT(DB_TBL_DATA_FIELDS[[#This Row],[FIELD_VALID_FLAG]]),0,2)))</f>
        <v>1</v>
      </c>
      <c r="N12" s="7" t="str">
        <f ca="1">IFERROR(VLOOKUP(DB_TBL_DATA_FIELDS[[#This Row],[FIELD_STATUS_CODE]],DB_TBL_CONFIG_FIELDSTATUSCODES[#All],3,FALSE),"")</f>
        <v>Required</v>
      </c>
      <c r="O12" s="7" t="str">
        <f ca="1">IFERROR(VLOOKUP(DB_TBL_DATA_FIELDS[[#This Row],[FIELD_STATUS_CODE]],DB_TBL_CONFIG_FIELDSTATUSCODES[#All],4,FALSE),"")</f>
        <v>i</v>
      </c>
      <c r="P12" s="7" t="b">
        <v>1</v>
      </c>
      <c r="Q12" s="7" t="b">
        <f>TRUE</f>
        <v>1</v>
      </c>
      <c r="R12" s="1" t="s">
        <v>9</v>
      </c>
      <c r="S12" s="7">
        <f ca="1">IF(DB_TBL_DATA_FIELDS[[#This Row],[RANGE_VALIDATION_FLAG]]="Text",LEN(DB_TBL_DATA_FIELDS[[#This Row],[FIELD_VALUE_RAW]]),IFERROR(VALUE(DB_TBL_DATA_FIELDS[[#This Row],[FIELD_VALUE_RAW]]),-1))</f>
        <v>0</v>
      </c>
      <c r="T12" s="7">
        <v>0</v>
      </c>
      <c r="U12" s="69">
        <v>250</v>
      </c>
      <c r="V12" s="7" t="b">
        <f ca="1">IF(NOT(DB_TBL_DATA_FIELDS[[#This Row],[RANGE_VALIDATION_ON_FLAG]]),TRUE,
AND(DB_TBL_DATA_FIELDS[[#This Row],[RANGE_VALUE_LEN]]&gt;=DB_TBL_DATA_FIELDS[[#This Row],[RANGE_VALIDATION_MIN]],DB_TBL_DATA_FIELDS[[#This Row],[RANGE_VALUE_LEN]]&lt;=DB_TBL_DATA_FIELDS[[#This Row],[RANGE_VALIDATION_MAX]]))</f>
        <v>1</v>
      </c>
      <c r="W12" s="17">
        <v>1</v>
      </c>
      <c r="X12" s="17">
        <f ca="1">IF(DB_TBL_DATA_FIELDS[[#This Row],[PCT_CALC_SHOW_STATUS_CODE]]=1,
DB_TBL_DATA_FIELDS[[#This Row],[FIELD_STATUS_CODE]],
IF(AND(DB_TBL_DATA_FIELDS[[#This Row],[PCT_CALC_SHOW_STATUS_CODE]]=2,DB_TBL_DATA_FIELDS[[#This Row],[FIELD_STATUS_CODE]]=0),
DB_TBL_DATA_FIELDS[[#This Row],[FIELD_STATUS_CODE]],
"")
)</f>
        <v>1</v>
      </c>
      <c r="Y12" s="17"/>
      <c r="Z12" s="12" t="s">
        <v>2252</v>
      </c>
      <c r="AA12" s="12" t="s">
        <v>2419</v>
      </c>
      <c r="AB12" s="12" t="s">
        <v>2642</v>
      </c>
      <c r="AC12" s="12" t="s">
        <v>2651</v>
      </c>
      <c r="AD12" s="12"/>
      <c r="AE12" s="7"/>
    </row>
    <row r="13" spans="1:31" x14ac:dyDescent="0.3">
      <c r="A13" s="10" t="s">
        <v>2790</v>
      </c>
      <c r="B13" s="7" t="str">
        <f>IFERROR(IF(FIND(DATA_EFORM_TYPE_CODE,DB_TBL_DATA_FIELDS[[#This Row],[APPLICABLE_EFORM_LIST]])&gt;0,DATA_EFORM_TYPE_CODE,""),"")</f>
        <v>AHEAD</v>
      </c>
      <c r="C13" s="54" t="s">
        <v>140</v>
      </c>
      <c r="D13" s="16" t="b">
        <v>1</v>
      </c>
      <c r="E13" s="36" t="b">
        <v>1</v>
      </c>
      <c r="F13" s="2" t="s">
        <v>57</v>
      </c>
      <c r="G13" s="10" t="str">
        <f ca="1">IFERROR(VLOOKUP(DB_TBL_DATA_FIELDS[[#This Row],[FIELD_ID]],INDIRECT(DB_TBL_DATA_FIELDS[[#This Row],[SHEET_REF_CALC]]&amp;"!A:B"),2,FALSE),"")</f>
        <v/>
      </c>
      <c r="H13" s="10"/>
      <c r="I13" s="2" t="b">
        <f ca="1">(DB_TBL_DATA_FIELDS[[#This Row],[FIELD_VALUE_RAW]]="")</f>
        <v>1</v>
      </c>
      <c r="J13" s="6" t="s">
        <v>9</v>
      </c>
      <c r="K13" s="7" t="b">
        <f ca="1">AND(IF(DB_TBL_DATA_FIELDS[[#This Row],[FIELD_VALID_CUSTOM_LOGIC]]="",TRUE,DB_TBL_DATA_FIELDS[[#This Row],[FIELD_VALID_CUSTOM_LOGIC]]),DB_TBL_DATA_FIELDS[[#This Row],[RANGE_VALIDATION_PASSED_FLAG]])</f>
        <v>0</v>
      </c>
      <c r="L13"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3" s="326">
        <f ca="1">IF(DB_TBL_DATA_FIELDS[[#This Row],[SHEET_REF_CALC]]="","",IF(DB_TBL_DATA_FIELDS[[#This Row],[FIELD_EMPTY_FLAG]],IF(NOT(DB_TBL_DATA_FIELDS[[#This Row],[FIELD_REQ_FLAG]]),-1,1),IF(NOT(DB_TBL_DATA_FIELDS[[#This Row],[FIELD_VALID_FLAG]]),0,2)))</f>
        <v>1</v>
      </c>
      <c r="N13" s="7" t="str">
        <f ca="1">IFERROR(VLOOKUP(DB_TBL_DATA_FIELDS[[#This Row],[FIELD_STATUS_CODE]],DB_TBL_CONFIG_FIELDSTATUSCODES[#All],3,FALSE),"")</f>
        <v>Required</v>
      </c>
      <c r="O13" s="7" t="str">
        <f ca="1">IFERROR(VLOOKUP(DB_TBL_DATA_FIELDS[[#This Row],[FIELD_STATUS_CODE]],DB_TBL_CONFIG_FIELDSTATUSCODES[#All],4,FALSE),"")</f>
        <v>i</v>
      </c>
      <c r="P13" s="7" t="b">
        <v>1</v>
      </c>
      <c r="Q13" s="7" t="b">
        <f>TRUE</f>
        <v>1</v>
      </c>
      <c r="R13" s="1" t="s">
        <v>9</v>
      </c>
      <c r="S13" s="7">
        <f ca="1">IF(DB_TBL_DATA_FIELDS[[#This Row],[RANGE_VALIDATION_FLAG]]="Text",LEN(DB_TBL_DATA_FIELDS[[#This Row],[FIELD_VALUE_RAW]]),IFERROR(VALUE(DB_TBL_DATA_FIELDS[[#This Row],[FIELD_VALUE_RAW]]),-1))</f>
        <v>0</v>
      </c>
      <c r="T13" s="7">
        <v>2</v>
      </c>
      <c r="U13" s="69">
        <v>2</v>
      </c>
      <c r="V13" s="7" t="b">
        <f ca="1">IF(NOT(DB_TBL_DATA_FIELDS[[#This Row],[RANGE_VALIDATION_ON_FLAG]]),TRUE,
AND(DB_TBL_DATA_FIELDS[[#This Row],[RANGE_VALUE_LEN]]&gt;=DB_TBL_DATA_FIELDS[[#This Row],[RANGE_VALIDATION_MIN]],DB_TBL_DATA_FIELDS[[#This Row],[RANGE_VALUE_LEN]]&lt;=DB_TBL_DATA_FIELDS[[#This Row],[RANGE_VALIDATION_MAX]]))</f>
        <v>0</v>
      </c>
      <c r="W13" s="17">
        <v>1</v>
      </c>
      <c r="X13" s="17">
        <f ca="1">IF(DB_TBL_DATA_FIELDS[[#This Row],[PCT_CALC_SHOW_STATUS_CODE]]=1,
DB_TBL_DATA_FIELDS[[#This Row],[FIELD_STATUS_CODE]],
IF(AND(DB_TBL_DATA_FIELDS[[#This Row],[PCT_CALC_SHOW_STATUS_CODE]]=2,DB_TBL_DATA_FIELDS[[#This Row],[FIELD_STATUS_CODE]]=0),
DB_TBL_DATA_FIELDS[[#This Row],[FIELD_STATUS_CODE]],
"")
)</f>
        <v>1</v>
      </c>
      <c r="Y13" s="17"/>
      <c r="Z13" s="12" t="s">
        <v>2253</v>
      </c>
      <c r="AA13" s="12" t="s">
        <v>2419</v>
      </c>
      <c r="AB13" s="12" t="s">
        <v>2643</v>
      </c>
      <c r="AC13" s="12" t="s">
        <v>2652</v>
      </c>
      <c r="AD13" s="12"/>
      <c r="AE13" s="7"/>
    </row>
    <row r="14" spans="1:31" s="4" customFormat="1" x14ac:dyDescent="0.3">
      <c r="A14" s="10" t="s">
        <v>2790</v>
      </c>
      <c r="B14" s="7" t="str">
        <f>IFERROR(IF(FIND(DATA_EFORM_TYPE_CODE,DB_TBL_DATA_FIELDS[[#This Row],[APPLICABLE_EFORM_LIST]])&gt;0,DATA_EFORM_TYPE_CODE,""),"")</f>
        <v>AHEAD</v>
      </c>
      <c r="C14" s="54" t="s">
        <v>141</v>
      </c>
      <c r="D14" s="16" t="b">
        <v>1</v>
      </c>
      <c r="E14" s="24" t="b">
        <v>1</v>
      </c>
      <c r="F14" s="2" t="s">
        <v>58</v>
      </c>
      <c r="G14" s="10" t="str">
        <f ca="1">IFERROR(VLOOKUP(DB_TBL_DATA_FIELDS[[#This Row],[FIELD_ID]],INDIRECT(DB_TBL_DATA_FIELDS[[#This Row],[SHEET_REF_CALC]]&amp;"!A:B"),2,FALSE),"")</f>
        <v/>
      </c>
      <c r="H14" s="44" t="b">
        <f ca="1">NOT(LEFT(DB_TBL_DATA_FIELDS[[#This Row],[FIELD_VALUE_RAW]],1)="-")</f>
        <v>1</v>
      </c>
      <c r="I14" s="2" t="b">
        <f ca="1">(DB_TBL_DATA_FIELDS[[#This Row],[FIELD_VALUE_RAW]]="")</f>
        <v>1</v>
      </c>
      <c r="J14" s="6" t="s">
        <v>9</v>
      </c>
      <c r="K14" s="7" t="b">
        <f ca="1">AND(IF(DB_TBL_DATA_FIELDS[[#This Row],[FIELD_VALID_CUSTOM_LOGIC]]="",TRUE,DB_TBL_DATA_FIELDS[[#This Row],[FIELD_VALID_CUSTOM_LOGIC]]),DB_TBL_DATA_FIELDS[[#This Row],[RANGE_VALIDATION_PASSED_FLAG]])</f>
        <v>0</v>
      </c>
      <c r="L14"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4" s="326">
        <f ca="1">IF(DB_TBL_DATA_FIELDS[[#This Row],[SHEET_REF_CALC]]="","",IF(DB_TBL_DATA_FIELDS[[#This Row],[FIELD_EMPTY_FLAG]],IF(NOT(DB_TBL_DATA_FIELDS[[#This Row],[FIELD_REQ_FLAG]]),-1,1),IF(NOT(DB_TBL_DATA_FIELDS[[#This Row],[FIELD_VALID_FLAG]]),0,2)))</f>
        <v>1</v>
      </c>
      <c r="N14" s="7" t="str">
        <f ca="1">IFERROR(VLOOKUP(DB_TBL_DATA_FIELDS[[#This Row],[FIELD_STATUS_CODE]],DB_TBL_CONFIG_FIELDSTATUSCODES[#All],3,FALSE),"")</f>
        <v>Required</v>
      </c>
      <c r="O14" s="7" t="str">
        <f ca="1">IFERROR(VLOOKUP(DB_TBL_DATA_FIELDS[[#This Row],[FIELD_STATUS_CODE]],DB_TBL_CONFIG_FIELDSTATUSCODES[#All],4,FALSE),"")</f>
        <v>i</v>
      </c>
      <c r="P14" s="7" t="b">
        <v>1</v>
      </c>
      <c r="Q14" s="7" t="b">
        <f>TRUE</f>
        <v>1</v>
      </c>
      <c r="R14" s="1" t="s">
        <v>9</v>
      </c>
      <c r="S14" s="7">
        <f ca="1">IF(DB_TBL_DATA_FIELDS[[#This Row],[RANGE_VALIDATION_FLAG]]="Text",LEN(DB_TBL_DATA_FIELDS[[#This Row],[FIELD_VALUE_RAW]]),IFERROR(VALUE(DB_TBL_DATA_FIELDS[[#This Row],[FIELD_VALUE_RAW]]),-1))</f>
        <v>0</v>
      </c>
      <c r="T14" s="7">
        <v>5</v>
      </c>
      <c r="U14" s="69">
        <v>10</v>
      </c>
      <c r="V14" s="7" t="b">
        <f ca="1">IF(NOT(DB_TBL_DATA_FIELDS[[#This Row],[RANGE_VALIDATION_ON_FLAG]]),TRUE,
AND(DB_TBL_DATA_FIELDS[[#This Row],[RANGE_VALUE_LEN]]&gt;=DB_TBL_DATA_FIELDS[[#This Row],[RANGE_VALIDATION_MIN]],DB_TBL_DATA_FIELDS[[#This Row],[RANGE_VALUE_LEN]]&lt;=DB_TBL_DATA_FIELDS[[#This Row],[RANGE_VALIDATION_MAX]]))</f>
        <v>0</v>
      </c>
      <c r="W14" s="17">
        <v>1</v>
      </c>
      <c r="X14" s="17">
        <f ca="1">IF(DB_TBL_DATA_FIELDS[[#This Row],[PCT_CALC_SHOW_STATUS_CODE]]=1,
DB_TBL_DATA_FIELDS[[#This Row],[FIELD_STATUS_CODE]],
IF(AND(DB_TBL_DATA_FIELDS[[#This Row],[PCT_CALC_SHOW_STATUS_CODE]]=2,DB_TBL_DATA_FIELDS[[#This Row],[FIELD_STATUS_CODE]]=0),
DB_TBL_DATA_FIELDS[[#This Row],[FIELD_STATUS_CODE]],
"")
)</f>
        <v>1</v>
      </c>
      <c r="Y14" s="17"/>
      <c r="Z14" s="12" t="s">
        <v>2254</v>
      </c>
      <c r="AA14" s="12" t="s">
        <v>2419</v>
      </c>
      <c r="AB14" s="12" t="s">
        <v>2644</v>
      </c>
      <c r="AC14" s="12" t="s">
        <v>2653</v>
      </c>
      <c r="AD14" s="12"/>
      <c r="AE14" s="7"/>
    </row>
    <row r="15" spans="1:31" s="4" customFormat="1" x14ac:dyDescent="0.3">
      <c r="A15" s="12" t="s">
        <v>2790</v>
      </c>
      <c r="B15" s="7" t="str">
        <f>IFERROR(IF(FIND(DATA_EFORM_TYPE_CODE,DB_TBL_DATA_FIELDS[[#This Row],[APPLICABLE_EFORM_LIST]])&gt;0,DATA_EFORM_TYPE_CODE,""),"")</f>
        <v>AHEAD</v>
      </c>
      <c r="C15" s="33" t="s">
        <v>2417</v>
      </c>
      <c r="D15" s="20" t="b">
        <v>1</v>
      </c>
      <c r="E15" s="26" t="b">
        <v>1</v>
      </c>
      <c r="F15" s="6" t="s">
        <v>2418</v>
      </c>
      <c r="G15" s="12" t="str">
        <f ca="1">IFERROR(VLOOKUP(DB_TBL_DATA_FIELDS[[#This Row],[FIELD_ID]],INDIRECT(DB_TBL_DATA_FIELDS[[#This Row],[SHEET_REF_CALC]]&amp;"!A:B"),2,FALSE),"")</f>
        <v/>
      </c>
      <c r="H15" s="12"/>
      <c r="I15" s="6" t="b">
        <f ca="1">(DB_TBL_DATA_FIELDS[[#This Row],[FIELD_VALUE_RAW]]="")</f>
        <v>1</v>
      </c>
      <c r="J15" s="6" t="s">
        <v>9</v>
      </c>
      <c r="K15" s="8" t="b">
        <f ca="1">AND(IF(DB_TBL_DATA_FIELDS[[#This Row],[FIELD_VALID_CUSTOM_LOGIC]]="",TRUE,DB_TBL_DATA_FIELDS[[#This Row],[FIELD_VALID_CUSTOM_LOGIC]]),DB_TBL_DATA_FIELDS[[#This Row],[RANGE_VALIDATION_PASSED_FLAG]])</f>
        <v>1</v>
      </c>
      <c r="L15"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5" s="328">
        <f ca="1">IF(DB_TBL_DATA_FIELDS[[#This Row],[SHEET_REF_CALC]]="","",IF(DB_TBL_DATA_FIELDS[[#This Row],[FIELD_EMPTY_FLAG]],IF(NOT(DB_TBL_DATA_FIELDS[[#This Row],[FIELD_REQ_FLAG]]),-1,1),IF(NOT(DB_TBL_DATA_FIELDS[[#This Row],[FIELD_VALID_FLAG]]),0,2)))</f>
        <v>1</v>
      </c>
      <c r="N15" s="8" t="str">
        <f ca="1">IFERROR(VLOOKUP(DB_TBL_DATA_FIELDS[[#This Row],[FIELD_STATUS_CODE]],DB_TBL_CONFIG_FIELDSTATUSCODES[#All],3,FALSE),"")</f>
        <v>Required</v>
      </c>
      <c r="O15" s="8" t="str">
        <f ca="1">IFERROR(VLOOKUP(DB_TBL_DATA_FIELDS[[#This Row],[FIELD_STATUS_CODE]],DB_TBL_CONFIG_FIELDSTATUSCODES[#All],4,FALSE),"")</f>
        <v>i</v>
      </c>
      <c r="P15" s="8" t="b">
        <f>TRUE</f>
        <v>1</v>
      </c>
      <c r="Q15" s="8" t="b">
        <f>TRUE</f>
        <v>1</v>
      </c>
      <c r="R15" s="4" t="s">
        <v>9</v>
      </c>
      <c r="S15" s="8">
        <f ca="1">IF(DB_TBL_DATA_FIELDS[[#This Row],[RANGE_VALIDATION_FLAG]]="Text",LEN(DB_TBL_DATA_FIELDS[[#This Row],[FIELD_VALUE_RAW]]),IFERROR(VALUE(DB_TBL_DATA_FIELDS[[#This Row],[FIELD_VALUE_RAW]]),-1))</f>
        <v>0</v>
      </c>
      <c r="T15" s="8">
        <v>0</v>
      </c>
      <c r="U15" s="8">
        <v>250</v>
      </c>
      <c r="V15" s="8" t="b">
        <f ca="1">IF(NOT(DB_TBL_DATA_FIELDS[[#This Row],[RANGE_VALIDATION_ON_FLAG]]),TRUE,
AND(DB_TBL_DATA_FIELDS[[#This Row],[RANGE_VALUE_LEN]]&gt;=DB_TBL_DATA_FIELDS[[#This Row],[RANGE_VALIDATION_MIN]],DB_TBL_DATA_FIELDS[[#This Row],[RANGE_VALUE_LEN]]&lt;=DB_TBL_DATA_FIELDS[[#This Row],[RANGE_VALIDATION_MAX]]))</f>
        <v>1</v>
      </c>
      <c r="W15" s="8">
        <v>1</v>
      </c>
      <c r="X15" s="8">
        <f ca="1">IF(DB_TBL_DATA_FIELDS[[#This Row],[PCT_CALC_SHOW_STATUS_CODE]]=1,
DB_TBL_DATA_FIELDS[[#This Row],[FIELD_STATUS_CODE]],
IF(AND(DB_TBL_DATA_FIELDS[[#This Row],[PCT_CALC_SHOW_STATUS_CODE]]=2,DB_TBL_DATA_FIELDS[[#This Row],[FIELD_STATUS_CODE]]=0),
DB_TBL_DATA_FIELDS[[#This Row],[FIELD_STATUS_CODE]],
"")
)</f>
        <v>1</v>
      </c>
      <c r="Y15" s="8"/>
      <c r="Z15" s="12" t="s">
        <v>2255</v>
      </c>
      <c r="AA15" s="12" t="s">
        <v>2419</v>
      </c>
      <c r="AB15" s="12" t="s">
        <v>2645</v>
      </c>
      <c r="AC15" s="12" t="s">
        <v>2651</v>
      </c>
      <c r="AD15" s="12"/>
      <c r="AE15" s="8"/>
    </row>
    <row r="16" spans="1:31" s="4" customFormat="1" ht="13.5" thickBot="1" x14ac:dyDescent="0.35">
      <c r="A16" s="62" t="s">
        <v>2790</v>
      </c>
      <c r="B16" s="58" t="str">
        <f>IFERROR(IF(FIND(DATA_EFORM_TYPE_CODE,DB_TBL_DATA_FIELDS[[#This Row],[APPLICABLE_EFORM_LIST]])&gt;0,DATA_EFORM_TYPE_CODE,""),"")</f>
        <v>AHEAD</v>
      </c>
      <c r="C16" s="55" t="s">
        <v>142</v>
      </c>
      <c r="D16" s="63" t="b">
        <v>1</v>
      </c>
      <c r="E16" s="60" t="b">
        <v>1</v>
      </c>
      <c r="F16" s="61" t="s">
        <v>113</v>
      </c>
      <c r="G16" s="64" t="str">
        <f ca="1">PROPER(IFERROR(VLOOKUP(DB_TBL_DATA_FIELDS[[#This Row],[FIELD_ID]],INDIRECT(DB_TBL_DATA_FIELDS[[#This Row],[SHEET_REF_CALC]]&amp;"!A:B"),2,FALSE),""))</f>
        <v/>
      </c>
      <c r="H16" s="64" t="b">
        <f ca="1">(DB_TBL_DATA_FIELDS[[#This Row],[FIELD_VALUE_RAW]]&lt;&gt;RANGE_LOOKUP_COUNTY_PLACEHOLDER)</f>
        <v>1</v>
      </c>
      <c r="I16" s="61" t="b">
        <f ca="1">(DB_TBL_DATA_FIELDS[[#This Row],[FIELD_VALUE_RAW]]="")</f>
        <v>1</v>
      </c>
      <c r="J16" s="61" t="s">
        <v>9</v>
      </c>
      <c r="K16" s="58" t="b">
        <f ca="1">AND(IF(DB_TBL_DATA_FIELDS[[#This Row],[FIELD_VALID_CUSTOM_LOGIC]]="",TRUE,DB_TBL_DATA_FIELDS[[#This Row],[FIELD_VALID_CUSTOM_LOGIC]]),DB_TBL_DATA_FIELDS[[#This Row],[RANGE_VALIDATION_PASSED_FLAG]])</f>
        <v>1</v>
      </c>
      <c r="L16" s="6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6" s="329">
        <f ca="1">IF(DB_TBL_DATA_FIELDS[[#This Row],[SHEET_REF_CALC]]="","",IF(DB_TBL_DATA_FIELDS[[#This Row],[FIELD_EMPTY_FLAG]],IF(NOT(DB_TBL_DATA_FIELDS[[#This Row],[FIELD_REQ_FLAG]]),-1,1),IF(NOT(DB_TBL_DATA_FIELDS[[#This Row],[FIELD_VALID_FLAG]]),0,2)))</f>
        <v>1</v>
      </c>
      <c r="N16" s="58" t="str">
        <f ca="1">IFERROR(VLOOKUP(DB_TBL_DATA_FIELDS[[#This Row],[FIELD_STATUS_CODE]],DB_TBL_CONFIG_FIELDSTATUSCODES[#All],3,FALSE),"")</f>
        <v>Required</v>
      </c>
      <c r="O16" s="58" t="str">
        <f ca="1">IFERROR(VLOOKUP(DB_TBL_DATA_FIELDS[[#This Row],[FIELD_STATUS_CODE]],DB_TBL_CONFIG_FIELDSTATUSCODES[#All],4,FALSE),"")</f>
        <v>i</v>
      </c>
      <c r="P16" s="58" t="b">
        <v>1</v>
      </c>
      <c r="Q16" s="58" t="b">
        <f>TRUE</f>
        <v>1</v>
      </c>
      <c r="R16" s="57" t="s">
        <v>9</v>
      </c>
      <c r="S16" s="58">
        <f ca="1">IF(DB_TBL_DATA_FIELDS[[#This Row],[RANGE_VALIDATION_FLAG]]="Text",LEN(DB_TBL_DATA_FIELDS[[#This Row],[FIELD_VALUE_RAW]]),IFERROR(VALUE(DB_TBL_DATA_FIELDS[[#This Row],[FIELD_VALUE_RAW]]),-1))</f>
        <v>0</v>
      </c>
      <c r="T16" s="58">
        <v>0</v>
      </c>
      <c r="U16" s="68">
        <v>250</v>
      </c>
      <c r="V16" s="58" t="b">
        <f ca="1">IF(NOT(DB_TBL_DATA_FIELDS[[#This Row],[RANGE_VALIDATION_ON_FLAG]]),TRUE,
AND(DB_TBL_DATA_FIELDS[[#This Row],[RANGE_VALUE_LEN]]&gt;=DB_TBL_DATA_FIELDS[[#This Row],[RANGE_VALIDATION_MIN]],DB_TBL_DATA_FIELDS[[#This Row],[RANGE_VALUE_LEN]]&lt;=DB_TBL_DATA_FIELDS[[#This Row],[RANGE_VALIDATION_MAX]]))</f>
        <v>1</v>
      </c>
      <c r="W16" s="59">
        <v>1</v>
      </c>
      <c r="X16" s="59">
        <f ca="1">IF(DB_TBL_DATA_FIELDS[[#This Row],[PCT_CALC_SHOW_STATUS_CODE]]=1,
DB_TBL_DATA_FIELDS[[#This Row],[FIELD_STATUS_CODE]],
IF(AND(DB_TBL_DATA_FIELDS[[#This Row],[PCT_CALC_SHOW_STATUS_CODE]]=2,DB_TBL_DATA_FIELDS[[#This Row],[FIELD_STATUS_CODE]]=0),
DB_TBL_DATA_FIELDS[[#This Row],[FIELD_STATUS_CODE]],
"")
)</f>
        <v>1</v>
      </c>
      <c r="Y16" s="59"/>
      <c r="Z16" s="62" t="s">
        <v>2256</v>
      </c>
      <c r="AA16" s="62" t="s">
        <v>2419</v>
      </c>
      <c r="AB16" s="62" t="s">
        <v>2646</v>
      </c>
      <c r="AC16" s="62" t="s">
        <v>2654</v>
      </c>
      <c r="AD16" s="62" t="s">
        <v>2650</v>
      </c>
      <c r="AE16" s="58"/>
    </row>
    <row r="17" spans="1:31" s="4" customFormat="1" x14ac:dyDescent="0.3">
      <c r="A17" s="12" t="s">
        <v>2790</v>
      </c>
      <c r="B17" s="7" t="str">
        <f>IFERROR(IF(FIND(DATA_EFORM_TYPE_CODE,DB_TBL_DATA_FIELDS[[#This Row],[APPLICABLE_EFORM_LIST]])&gt;0,DATA_EFORM_TYPE_CODE,""),"")</f>
        <v>AHEAD</v>
      </c>
      <c r="C17" s="33" t="s">
        <v>2238</v>
      </c>
      <c r="D17" s="4" t="b">
        <v>0</v>
      </c>
      <c r="E17" s="26" t="b">
        <v>1</v>
      </c>
      <c r="F17" s="6" t="s">
        <v>135</v>
      </c>
      <c r="G17" s="12" t="str">
        <f ca="1">IFERROR(VLOOKUP(DB_TBL_DATA_FIELDS[[#This Row],[FIELD_ID]],INDIRECT(DB_TBL_DATA_FIELDS[[#This Row],[SHEET_REF_CALC]]&amp;"!A:B"),2,FALSE),"")</f>
        <v/>
      </c>
      <c r="H17" s="12"/>
      <c r="I17" s="6" t="b">
        <f ca="1">(DB_TBL_DATA_FIELDS[[#This Row],[FIELD_VALUE_RAW]]="")</f>
        <v>1</v>
      </c>
      <c r="J17" s="6" t="s">
        <v>9</v>
      </c>
      <c r="K17" s="8" t="b">
        <f ca="1">AND(IF(DB_TBL_DATA_FIELDS[[#This Row],[FIELD_VALID_CUSTOM_LOGIC]]="",TRUE,DB_TBL_DATA_FIELDS[[#This Row],[FIELD_VALID_CUSTOM_LOGIC]]),DB_TBL_DATA_FIELDS[[#This Row],[RANGE_VALIDATION_PASSED_FLAG]])</f>
        <v>1</v>
      </c>
      <c r="L17"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7" s="328">
        <f ca="1">IF(DB_TBL_DATA_FIELDS[[#This Row],[SHEET_REF_CALC]]="","",IF(DB_TBL_DATA_FIELDS[[#This Row],[FIELD_EMPTY_FLAG]],IF(NOT(DB_TBL_DATA_FIELDS[[#This Row],[FIELD_REQ_FLAG]]),-1,1),IF(NOT(DB_TBL_DATA_FIELDS[[#This Row],[FIELD_VALID_FLAG]]),0,2)))</f>
        <v>1</v>
      </c>
      <c r="N17" s="8" t="str">
        <f ca="1">IFERROR(VLOOKUP(DB_TBL_DATA_FIELDS[[#This Row],[FIELD_STATUS_CODE]],DB_TBL_CONFIG_FIELDSTATUSCODES[#All],3,FALSE),"")</f>
        <v>Required</v>
      </c>
      <c r="O17" s="8" t="str">
        <f ca="1">IFERROR(VLOOKUP(DB_TBL_DATA_FIELDS[[#This Row],[FIELD_STATUS_CODE]],DB_TBL_CONFIG_FIELDSTATUSCODES[#All],4,FALSE),"")</f>
        <v>i</v>
      </c>
      <c r="P17" s="8" t="b">
        <v>1</v>
      </c>
      <c r="Q17" s="8" t="b">
        <f>TRUE</f>
        <v>1</v>
      </c>
      <c r="R17" s="4" t="s">
        <v>9</v>
      </c>
      <c r="S17" s="8">
        <f ca="1">IF(DB_TBL_DATA_FIELDS[[#This Row],[RANGE_VALIDATION_FLAG]]="Text",LEN(DB_TBL_DATA_FIELDS[[#This Row],[FIELD_VALUE_RAW]]),IFERROR(VALUE(DB_TBL_DATA_FIELDS[[#This Row],[FIELD_VALUE_RAW]]),-1))</f>
        <v>0</v>
      </c>
      <c r="T17" s="8">
        <v>0</v>
      </c>
      <c r="U17" s="35">
        <v>150</v>
      </c>
      <c r="V17" s="8" t="b">
        <f ca="1">IF(NOT(DB_TBL_DATA_FIELDS[[#This Row],[RANGE_VALIDATION_ON_FLAG]]),TRUE,
AND(DB_TBL_DATA_FIELDS[[#This Row],[RANGE_VALUE_LEN]]&gt;=DB_TBL_DATA_FIELDS[[#This Row],[RANGE_VALIDATION_MIN]],DB_TBL_DATA_FIELDS[[#This Row],[RANGE_VALUE_LEN]]&lt;=DB_TBL_DATA_FIELDS[[#This Row],[RANGE_VALIDATION_MAX]]))</f>
        <v>1</v>
      </c>
      <c r="W17" s="22">
        <v>1</v>
      </c>
      <c r="X17" s="22">
        <f ca="1">IF(DB_TBL_DATA_FIELDS[[#This Row],[PCT_CALC_SHOW_STATUS_CODE]]=1,
DB_TBL_DATA_FIELDS[[#This Row],[FIELD_STATUS_CODE]],
IF(AND(DB_TBL_DATA_FIELDS[[#This Row],[PCT_CALC_SHOW_STATUS_CODE]]=2,DB_TBL_DATA_FIELDS[[#This Row],[FIELD_STATUS_CODE]]=0),
DB_TBL_DATA_FIELDS[[#This Row],[FIELD_STATUS_CODE]],
"")
)</f>
        <v>1</v>
      </c>
      <c r="Y17" s="22"/>
      <c r="Z17" s="12" t="s">
        <v>2257</v>
      </c>
      <c r="AA17" s="12" t="s">
        <v>2423</v>
      </c>
      <c r="AB17" s="12"/>
      <c r="AC17" s="12"/>
      <c r="AD17" s="12"/>
      <c r="AE17" s="8"/>
    </row>
    <row r="18" spans="1:31" s="4" customFormat="1" x14ac:dyDescent="0.3">
      <c r="A18" s="12" t="s">
        <v>2790</v>
      </c>
      <c r="B18" s="7" t="str">
        <f>IFERROR(IF(FIND(DATA_EFORM_TYPE_CODE,DB_TBL_DATA_FIELDS[[#This Row],[APPLICABLE_EFORM_LIST]])&gt;0,DATA_EFORM_TYPE_CODE,""),"")</f>
        <v>AHEAD</v>
      </c>
      <c r="C18" s="33" t="s">
        <v>2239</v>
      </c>
      <c r="D18" s="4" t="b">
        <v>0</v>
      </c>
      <c r="E18" s="27" t="b">
        <v>1</v>
      </c>
      <c r="F18" s="6" t="s">
        <v>2230</v>
      </c>
      <c r="G18" s="12" t="str">
        <f ca="1">IFERROR(VLOOKUP(DB_TBL_DATA_FIELDS[[#This Row],[FIELD_ID]],INDIRECT(DB_TBL_DATA_FIELDS[[#This Row],[SHEET_REF_CALC]]&amp;"!A:B"),2,FALSE),"")</f>
        <v/>
      </c>
      <c r="H18" s="23"/>
      <c r="I18" s="21" t="b">
        <f ca="1">(DB_TBL_DATA_FIELDS[[#This Row],[FIELD_VALUE_RAW]]="")</f>
        <v>1</v>
      </c>
      <c r="J18" s="21" t="s">
        <v>9</v>
      </c>
      <c r="K18" s="22" t="b">
        <f ca="1">AND(IF(DB_TBL_DATA_FIELDS[[#This Row],[FIELD_VALID_CUSTOM_LOGIC]]="",TRUE,DB_TBL_DATA_FIELDS[[#This Row],[FIELD_VALID_CUSTOM_LOGIC]]),DB_TBL_DATA_FIELDS[[#This Row],[RANGE_VALIDATION_PASSED_FLAG]])</f>
        <v>1</v>
      </c>
      <c r="L18" s="23"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8" s="330">
        <f ca="1">IF(DB_TBL_DATA_FIELDS[[#This Row],[SHEET_REF_CALC]]="","",IF(DB_TBL_DATA_FIELDS[[#This Row],[FIELD_EMPTY_FLAG]],IF(NOT(DB_TBL_DATA_FIELDS[[#This Row],[FIELD_REQ_FLAG]]),-1,1),IF(NOT(DB_TBL_DATA_FIELDS[[#This Row],[FIELD_VALID_FLAG]]),0,2)))</f>
        <v>1</v>
      </c>
      <c r="N18" s="22" t="str">
        <f ca="1">IFERROR(VLOOKUP(DB_TBL_DATA_FIELDS[[#This Row],[FIELD_STATUS_CODE]],DB_TBL_CONFIG_FIELDSTATUSCODES[#All],3,FALSE),"")</f>
        <v>Required</v>
      </c>
      <c r="O18" s="22" t="str">
        <f ca="1">IFERROR(VLOOKUP(DB_TBL_DATA_FIELDS[[#This Row],[FIELD_STATUS_CODE]],DB_TBL_CONFIG_FIELDSTATUSCODES[#All],4,FALSE),"")</f>
        <v>i</v>
      </c>
      <c r="P18" s="22" t="b">
        <f>TRUE</f>
        <v>1</v>
      </c>
      <c r="Q18" s="22" t="b">
        <f>TRUE</f>
        <v>1</v>
      </c>
      <c r="R18" s="20" t="s">
        <v>9</v>
      </c>
      <c r="S18" s="22">
        <f ca="1">IF(DB_TBL_DATA_FIELDS[[#This Row],[RANGE_VALIDATION_FLAG]]="Text",LEN(DB_TBL_DATA_FIELDS[[#This Row],[FIELD_VALUE_RAW]]),IFERROR(VALUE(DB_TBL_DATA_FIELDS[[#This Row],[FIELD_VALUE_RAW]]),-1))</f>
        <v>0</v>
      </c>
      <c r="T18" s="22">
        <v>0</v>
      </c>
      <c r="U18" s="70">
        <v>150</v>
      </c>
      <c r="V18" s="22" t="b">
        <f ca="1">IF(NOT(DB_TBL_DATA_FIELDS[[#This Row],[RANGE_VALIDATION_ON_FLAG]]),TRUE,
AND(DB_TBL_DATA_FIELDS[[#This Row],[RANGE_VALUE_LEN]]&gt;=DB_TBL_DATA_FIELDS[[#This Row],[RANGE_VALIDATION_MIN]],DB_TBL_DATA_FIELDS[[#This Row],[RANGE_VALUE_LEN]]&lt;=DB_TBL_DATA_FIELDS[[#This Row],[RANGE_VALIDATION_MAX]]))</f>
        <v>1</v>
      </c>
      <c r="W18" s="22">
        <v>1</v>
      </c>
      <c r="X18" s="22">
        <f ca="1">IF(DB_TBL_DATA_FIELDS[[#This Row],[PCT_CALC_SHOW_STATUS_CODE]]=1,
DB_TBL_DATA_FIELDS[[#This Row],[FIELD_STATUS_CODE]],
IF(AND(DB_TBL_DATA_FIELDS[[#This Row],[PCT_CALC_SHOW_STATUS_CODE]]=2,DB_TBL_DATA_FIELDS[[#This Row],[FIELD_STATUS_CODE]]=0),
DB_TBL_DATA_FIELDS[[#This Row],[FIELD_STATUS_CODE]],
"")
)</f>
        <v>1</v>
      </c>
      <c r="Y18" s="22"/>
      <c r="Z18" s="12" t="s">
        <v>2258</v>
      </c>
      <c r="AA18" s="12" t="s">
        <v>2423</v>
      </c>
      <c r="AB18" s="12"/>
      <c r="AC18" s="12"/>
      <c r="AD18" s="12"/>
      <c r="AE18" s="8"/>
    </row>
    <row r="19" spans="1:31" s="4" customFormat="1" x14ac:dyDescent="0.3">
      <c r="A19" s="12" t="s">
        <v>2790</v>
      </c>
      <c r="B19" s="7" t="str">
        <f>IFERROR(IF(FIND(DATA_EFORM_TYPE_CODE,DB_TBL_DATA_FIELDS[[#This Row],[APPLICABLE_EFORM_LIST]])&gt;0,DATA_EFORM_TYPE_CODE,""),"")</f>
        <v>AHEAD</v>
      </c>
      <c r="C19" s="56" t="s">
        <v>2240</v>
      </c>
      <c r="D19" s="4" t="b">
        <v>0</v>
      </c>
      <c r="E19" s="196" t="b">
        <v>1</v>
      </c>
      <c r="F19" s="6" t="s">
        <v>2231</v>
      </c>
      <c r="G19" s="12" t="str">
        <f ca="1">IFERROR(VLOOKUP(DB_TBL_DATA_FIELDS[[#This Row],[FIELD_ID]],INDIRECT(DB_TBL_DATA_FIELDS[[#This Row],[SHEET_REF_CALC]]&amp;"!A:B"),2,FALSE),"")</f>
        <v/>
      </c>
      <c r="H19" s="23"/>
      <c r="I19" s="21" t="b">
        <f ca="1">(DB_TBL_DATA_FIELDS[[#This Row],[FIELD_VALUE_RAW]]="")</f>
        <v>1</v>
      </c>
      <c r="J19" s="21" t="s">
        <v>9</v>
      </c>
      <c r="K19" s="22" t="b">
        <f ca="1">AND(IF(DB_TBL_DATA_FIELDS[[#This Row],[FIELD_VALID_CUSTOM_LOGIC]]="",TRUE,DB_TBL_DATA_FIELDS[[#This Row],[FIELD_VALID_CUSTOM_LOGIC]]),DB_TBL_DATA_FIELDS[[#This Row],[RANGE_VALIDATION_PASSED_FLAG]])</f>
        <v>1</v>
      </c>
      <c r="L19" s="23"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9" s="330">
        <f ca="1">IF(DB_TBL_DATA_FIELDS[[#This Row],[SHEET_REF_CALC]]="","",IF(DB_TBL_DATA_FIELDS[[#This Row],[FIELD_EMPTY_FLAG]],IF(NOT(DB_TBL_DATA_FIELDS[[#This Row],[FIELD_REQ_FLAG]]),-1,1),IF(NOT(DB_TBL_DATA_FIELDS[[#This Row],[FIELD_VALID_FLAG]]),0,2)))</f>
        <v>1</v>
      </c>
      <c r="N19" s="22" t="str">
        <f ca="1">IFERROR(VLOOKUP(DB_TBL_DATA_FIELDS[[#This Row],[FIELD_STATUS_CODE]],DB_TBL_CONFIG_FIELDSTATUSCODES[#All],3,FALSE),"")</f>
        <v>Required</v>
      </c>
      <c r="O19" s="22" t="str">
        <f ca="1">IFERROR(VLOOKUP(DB_TBL_DATA_FIELDS[[#This Row],[FIELD_STATUS_CODE]],DB_TBL_CONFIG_FIELDSTATUSCODES[#All],4,FALSE),"")</f>
        <v>i</v>
      </c>
      <c r="P19" s="22" t="b">
        <f>TRUE</f>
        <v>1</v>
      </c>
      <c r="Q19" s="22" t="b">
        <f>TRUE</f>
        <v>1</v>
      </c>
      <c r="R19" s="20" t="s">
        <v>9</v>
      </c>
      <c r="S19" s="22">
        <f ca="1">IF(DB_TBL_DATA_FIELDS[[#This Row],[RANGE_VALIDATION_FLAG]]="Text",LEN(DB_TBL_DATA_FIELDS[[#This Row],[FIELD_VALUE_RAW]]),IFERROR(VALUE(DB_TBL_DATA_FIELDS[[#This Row],[FIELD_VALUE_RAW]]),-1))</f>
        <v>0</v>
      </c>
      <c r="T19" s="22">
        <v>0</v>
      </c>
      <c r="U19" s="70">
        <v>150</v>
      </c>
      <c r="V19" s="22" t="b">
        <f ca="1">IF(NOT(DB_TBL_DATA_FIELDS[[#This Row],[RANGE_VALIDATION_ON_FLAG]]),TRUE,
AND(DB_TBL_DATA_FIELDS[[#This Row],[RANGE_VALUE_LEN]]&gt;=DB_TBL_DATA_FIELDS[[#This Row],[RANGE_VALIDATION_MIN]],DB_TBL_DATA_FIELDS[[#This Row],[RANGE_VALUE_LEN]]&lt;=DB_TBL_DATA_FIELDS[[#This Row],[RANGE_VALIDATION_MAX]]))</f>
        <v>1</v>
      </c>
      <c r="W19" s="22">
        <v>1</v>
      </c>
      <c r="X19" s="22">
        <f ca="1">IF(DB_TBL_DATA_FIELDS[[#This Row],[PCT_CALC_SHOW_STATUS_CODE]]=1,
DB_TBL_DATA_FIELDS[[#This Row],[FIELD_STATUS_CODE]],
IF(AND(DB_TBL_DATA_FIELDS[[#This Row],[PCT_CALC_SHOW_STATUS_CODE]]=2,DB_TBL_DATA_FIELDS[[#This Row],[FIELD_STATUS_CODE]]=0),
DB_TBL_DATA_FIELDS[[#This Row],[FIELD_STATUS_CODE]],
"")
)</f>
        <v>1</v>
      </c>
      <c r="Y19" s="22"/>
      <c r="Z19" s="12" t="s">
        <v>2259</v>
      </c>
      <c r="AA19" s="12" t="s">
        <v>2423</v>
      </c>
      <c r="AB19" s="12"/>
      <c r="AC19" s="12"/>
      <c r="AD19" s="12"/>
      <c r="AE19" s="8"/>
    </row>
    <row r="20" spans="1:31" s="4" customFormat="1" x14ac:dyDescent="0.3">
      <c r="A20" s="12" t="s">
        <v>2790</v>
      </c>
      <c r="B20" s="7" t="str">
        <f>IFERROR(IF(FIND(DATA_EFORM_TYPE_CODE,DB_TBL_DATA_FIELDS[[#This Row],[APPLICABLE_EFORM_LIST]])&gt;0,DATA_EFORM_TYPE_CODE,""),"")</f>
        <v>AHEAD</v>
      </c>
      <c r="C20" s="56" t="s">
        <v>2241</v>
      </c>
      <c r="D20" s="4" t="b">
        <v>0</v>
      </c>
      <c r="E20" s="27" t="b">
        <v>1</v>
      </c>
      <c r="F20" s="6" t="s">
        <v>2232</v>
      </c>
      <c r="G20" s="12" t="str">
        <f ca="1">IFERROR(VLOOKUP(DB_TBL_DATA_FIELDS[[#This Row],[FIELD_ID]],INDIRECT(DB_TBL_DATA_FIELDS[[#This Row],[SHEET_REF_CALC]]&amp;"!A:B"),2,FALSE),"")</f>
        <v/>
      </c>
      <c r="H20" s="23"/>
      <c r="I20" s="21" t="b">
        <f ca="1">(DB_TBL_DATA_FIELDS[[#This Row],[FIELD_VALUE_RAW]]="")</f>
        <v>1</v>
      </c>
      <c r="J20" s="21" t="s">
        <v>9</v>
      </c>
      <c r="K20" s="22" t="b">
        <f ca="1">AND(IF(DB_TBL_DATA_FIELDS[[#This Row],[FIELD_VALID_CUSTOM_LOGIC]]="",TRUE,DB_TBL_DATA_FIELDS[[#This Row],[FIELD_VALID_CUSTOM_LOGIC]]),DB_TBL_DATA_FIELDS[[#This Row],[RANGE_VALIDATION_PASSED_FLAG]])</f>
        <v>1</v>
      </c>
      <c r="L20" s="23"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20" s="330">
        <f ca="1">IF(DB_TBL_DATA_FIELDS[[#This Row],[SHEET_REF_CALC]]="","",IF(DB_TBL_DATA_FIELDS[[#This Row],[FIELD_EMPTY_FLAG]],IF(NOT(DB_TBL_DATA_FIELDS[[#This Row],[FIELD_REQ_FLAG]]),-1,1),IF(NOT(DB_TBL_DATA_FIELDS[[#This Row],[FIELD_VALID_FLAG]]),0,2)))</f>
        <v>1</v>
      </c>
      <c r="N20" s="22" t="str">
        <f ca="1">IFERROR(VLOOKUP(DB_TBL_DATA_FIELDS[[#This Row],[FIELD_STATUS_CODE]],DB_TBL_CONFIG_FIELDSTATUSCODES[#All],3,FALSE),"")</f>
        <v>Required</v>
      </c>
      <c r="O20" s="22" t="str">
        <f ca="1">IFERROR(VLOOKUP(DB_TBL_DATA_FIELDS[[#This Row],[FIELD_STATUS_CODE]],DB_TBL_CONFIG_FIELDSTATUSCODES[#All],4,FALSE),"")</f>
        <v>i</v>
      </c>
      <c r="P20" s="22" t="b">
        <f>TRUE</f>
        <v>1</v>
      </c>
      <c r="Q20" s="22" t="b">
        <f>TRUE</f>
        <v>1</v>
      </c>
      <c r="R20" s="20" t="s">
        <v>9</v>
      </c>
      <c r="S20" s="22">
        <f ca="1">IF(DB_TBL_DATA_FIELDS[[#This Row],[RANGE_VALIDATION_FLAG]]="Text",LEN(DB_TBL_DATA_FIELDS[[#This Row],[FIELD_VALUE_RAW]]),IFERROR(VALUE(DB_TBL_DATA_FIELDS[[#This Row],[FIELD_VALUE_RAW]]),-1))</f>
        <v>0</v>
      </c>
      <c r="T20" s="22">
        <v>0</v>
      </c>
      <c r="U20" s="70">
        <v>60</v>
      </c>
      <c r="V20" s="22" t="b">
        <f ca="1">IF(NOT(DB_TBL_DATA_FIELDS[[#This Row],[RANGE_VALIDATION_ON_FLAG]]),TRUE,
AND(DB_TBL_DATA_FIELDS[[#This Row],[RANGE_VALUE_LEN]]&gt;=DB_TBL_DATA_FIELDS[[#This Row],[RANGE_VALIDATION_MIN]],DB_TBL_DATA_FIELDS[[#This Row],[RANGE_VALUE_LEN]]&lt;=DB_TBL_DATA_FIELDS[[#This Row],[RANGE_VALIDATION_MAX]]))</f>
        <v>1</v>
      </c>
      <c r="W20" s="22">
        <v>1</v>
      </c>
      <c r="X20" s="22">
        <f ca="1">IF(DB_TBL_DATA_FIELDS[[#This Row],[PCT_CALC_SHOW_STATUS_CODE]]=1,
DB_TBL_DATA_FIELDS[[#This Row],[FIELD_STATUS_CODE]],
IF(AND(DB_TBL_DATA_FIELDS[[#This Row],[PCT_CALC_SHOW_STATUS_CODE]]=2,DB_TBL_DATA_FIELDS[[#This Row],[FIELD_STATUS_CODE]]=0),
DB_TBL_DATA_FIELDS[[#This Row],[FIELD_STATUS_CODE]],
"")
)</f>
        <v>1</v>
      </c>
      <c r="Y20" s="22"/>
      <c r="Z20" s="12" t="s">
        <v>2260</v>
      </c>
      <c r="AA20" s="12" t="s">
        <v>2423</v>
      </c>
      <c r="AB20" s="12"/>
      <c r="AC20" s="12"/>
      <c r="AD20" s="12"/>
      <c r="AE20" s="8"/>
    </row>
    <row r="21" spans="1:31" s="4" customFormat="1" x14ac:dyDescent="0.3">
      <c r="A21" s="12" t="s">
        <v>2790</v>
      </c>
      <c r="B21" s="7" t="str">
        <f>IFERROR(IF(FIND(DATA_EFORM_TYPE_CODE,DB_TBL_DATA_FIELDS[[#This Row],[APPLICABLE_EFORM_LIST]])&gt;0,DATA_EFORM_TYPE_CODE,""),"")</f>
        <v>AHEAD</v>
      </c>
      <c r="C21" s="56" t="s">
        <v>2242</v>
      </c>
      <c r="D21" s="4" t="b">
        <v>0</v>
      </c>
      <c r="E21" s="27" t="b">
        <v>1</v>
      </c>
      <c r="F21" s="6" t="s">
        <v>2233</v>
      </c>
      <c r="G21" s="12" t="str">
        <f ca="1">IFERROR(VLOOKUP(DB_TBL_DATA_FIELDS[[#This Row],[FIELD_ID]],INDIRECT(DB_TBL_DATA_FIELDS[[#This Row],[SHEET_REF_CALC]]&amp;"!A:B"),2,FALSE),"")</f>
        <v/>
      </c>
      <c r="H21" s="23"/>
      <c r="I21" s="21" t="b">
        <f ca="1">(DB_TBL_DATA_FIELDS[[#This Row],[FIELD_VALUE_RAW]]="")</f>
        <v>1</v>
      </c>
      <c r="J21" s="21" t="s">
        <v>9</v>
      </c>
      <c r="K21" s="22" t="b">
        <f ca="1">AND(IF(DB_TBL_DATA_FIELDS[[#This Row],[FIELD_VALID_CUSTOM_LOGIC]]="",TRUE,DB_TBL_DATA_FIELDS[[#This Row],[FIELD_VALID_CUSTOM_LOGIC]]),DB_TBL_DATA_FIELDS[[#This Row],[RANGE_VALIDATION_PASSED_FLAG]])</f>
        <v>1</v>
      </c>
      <c r="L21" s="23"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21" s="330">
        <f ca="1">IF(DB_TBL_DATA_FIELDS[[#This Row],[SHEET_REF_CALC]]="","",IF(DB_TBL_DATA_FIELDS[[#This Row],[FIELD_EMPTY_FLAG]],IF(NOT(DB_TBL_DATA_FIELDS[[#This Row],[FIELD_REQ_FLAG]]),-1,1),IF(NOT(DB_TBL_DATA_FIELDS[[#This Row],[FIELD_VALID_FLAG]]),0,2)))</f>
        <v>1</v>
      </c>
      <c r="N21" s="22" t="str">
        <f ca="1">IFERROR(VLOOKUP(DB_TBL_DATA_FIELDS[[#This Row],[FIELD_STATUS_CODE]],DB_TBL_CONFIG_FIELDSTATUSCODES[#All],3,FALSE),"")</f>
        <v>Required</v>
      </c>
      <c r="O21" s="22" t="str">
        <f ca="1">IFERROR(VLOOKUP(DB_TBL_DATA_FIELDS[[#This Row],[FIELD_STATUS_CODE]],DB_TBL_CONFIG_FIELDSTATUSCODES[#All],4,FALSE),"")</f>
        <v>i</v>
      </c>
      <c r="P21" s="22" t="b">
        <f>TRUE</f>
        <v>1</v>
      </c>
      <c r="Q21" s="22" t="b">
        <f>TRUE</f>
        <v>1</v>
      </c>
      <c r="R21" s="20" t="s">
        <v>9</v>
      </c>
      <c r="S21" s="22">
        <f ca="1">IF(DB_TBL_DATA_FIELDS[[#This Row],[RANGE_VALIDATION_FLAG]]="Text",LEN(DB_TBL_DATA_FIELDS[[#This Row],[FIELD_VALUE_RAW]]),IFERROR(VALUE(DB_TBL_DATA_FIELDS[[#This Row],[FIELD_VALUE_RAW]]),-1))</f>
        <v>0</v>
      </c>
      <c r="T21" s="22">
        <v>0</v>
      </c>
      <c r="U21" s="70">
        <v>30</v>
      </c>
      <c r="V21" s="22" t="b">
        <f ca="1">IF(NOT(DB_TBL_DATA_FIELDS[[#This Row],[RANGE_VALIDATION_ON_FLAG]]),TRUE,
AND(DB_TBL_DATA_FIELDS[[#This Row],[RANGE_VALUE_LEN]]&gt;=DB_TBL_DATA_FIELDS[[#This Row],[RANGE_VALIDATION_MIN]],DB_TBL_DATA_FIELDS[[#This Row],[RANGE_VALUE_LEN]]&lt;=DB_TBL_DATA_FIELDS[[#This Row],[RANGE_VALIDATION_MAX]]))</f>
        <v>1</v>
      </c>
      <c r="W21" s="22">
        <v>1</v>
      </c>
      <c r="X21" s="22">
        <f ca="1">IF(DB_TBL_DATA_FIELDS[[#This Row],[PCT_CALC_SHOW_STATUS_CODE]]=1,
DB_TBL_DATA_FIELDS[[#This Row],[FIELD_STATUS_CODE]],
IF(AND(DB_TBL_DATA_FIELDS[[#This Row],[PCT_CALC_SHOW_STATUS_CODE]]=2,DB_TBL_DATA_FIELDS[[#This Row],[FIELD_STATUS_CODE]]=0),
DB_TBL_DATA_FIELDS[[#This Row],[FIELD_STATUS_CODE]],
"")
)</f>
        <v>1</v>
      </c>
      <c r="Y21" s="22"/>
      <c r="Z21" s="12" t="s">
        <v>2261</v>
      </c>
      <c r="AA21" s="12" t="s">
        <v>2423</v>
      </c>
      <c r="AB21" s="12"/>
      <c r="AC21" s="12"/>
      <c r="AD21" s="12"/>
      <c r="AE21" s="8"/>
    </row>
    <row r="22" spans="1:31" x14ac:dyDescent="0.3">
      <c r="A22" s="12" t="s">
        <v>2790</v>
      </c>
      <c r="B22" s="7" t="str">
        <f>IFERROR(IF(FIND(DATA_EFORM_TYPE_CODE,DB_TBL_DATA_FIELDS[[#This Row],[APPLICABLE_EFORM_LIST]])&gt;0,DATA_EFORM_TYPE_CODE,""),"")</f>
        <v>AHEAD</v>
      </c>
      <c r="C22" s="56" t="s">
        <v>2243</v>
      </c>
      <c r="D22" s="4" t="b">
        <v>0</v>
      </c>
      <c r="E22" s="27" t="b">
        <v>1</v>
      </c>
      <c r="F22" s="6" t="s">
        <v>2234</v>
      </c>
      <c r="G22" s="12" t="str">
        <f ca="1">IFERROR(VLOOKUP(DB_TBL_DATA_FIELDS[[#This Row],[FIELD_ID]],INDIRECT(DB_TBL_DATA_FIELDS[[#This Row],[SHEET_REF_CALC]]&amp;"!A:B"),2,FALSE),"")</f>
        <v/>
      </c>
      <c r="H22" s="23"/>
      <c r="I22" s="21" t="b">
        <f ca="1">(DB_TBL_DATA_FIELDS[[#This Row],[FIELD_VALUE_RAW]]="")</f>
        <v>1</v>
      </c>
      <c r="J22" s="21" t="s">
        <v>9</v>
      </c>
      <c r="K22" s="22" t="b">
        <f ca="1">AND(IF(DB_TBL_DATA_FIELDS[[#This Row],[FIELD_VALID_CUSTOM_LOGIC]]="",TRUE,DB_TBL_DATA_FIELDS[[#This Row],[FIELD_VALID_CUSTOM_LOGIC]]),DB_TBL_DATA_FIELDS[[#This Row],[RANGE_VALIDATION_PASSED_FLAG]])</f>
        <v>0</v>
      </c>
      <c r="L22" s="23"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22" s="330">
        <f ca="1">IF(DB_TBL_DATA_FIELDS[[#This Row],[SHEET_REF_CALC]]="","",IF(DB_TBL_DATA_FIELDS[[#This Row],[FIELD_EMPTY_FLAG]],IF(NOT(DB_TBL_DATA_FIELDS[[#This Row],[FIELD_REQ_FLAG]]),-1,1),IF(NOT(DB_TBL_DATA_FIELDS[[#This Row],[FIELD_VALID_FLAG]]),0,2)))</f>
        <v>1</v>
      </c>
      <c r="N22" s="22" t="str">
        <f ca="1">IFERROR(VLOOKUP(DB_TBL_DATA_FIELDS[[#This Row],[FIELD_STATUS_CODE]],DB_TBL_CONFIG_FIELDSTATUSCODES[#All],3,FALSE),"")</f>
        <v>Required</v>
      </c>
      <c r="O22" s="22" t="str">
        <f ca="1">IFERROR(VLOOKUP(DB_TBL_DATA_FIELDS[[#This Row],[FIELD_STATUS_CODE]],DB_TBL_CONFIG_FIELDSTATUSCODES[#All],4,FALSE),"")</f>
        <v>i</v>
      </c>
      <c r="P22" s="22" t="b">
        <f>TRUE</f>
        <v>1</v>
      </c>
      <c r="Q22" s="22" t="b">
        <f>TRUE</f>
        <v>1</v>
      </c>
      <c r="R22" s="20" t="s">
        <v>9</v>
      </c>
      <c r="S22" s="22">
        <f ca="1">IF(DB_TBL_DATA_FIELDS[[#This Row],[RANGE_VALIDATION_FLAG]]="Text",LEN(DB_TBL_DATA_FIELDS[[#This Row],[FIELD_VALUE_RAW]]),IFERROR(VALUE(DB_TBL_DATA_FIELDS[[#This Row],[FIELD_VALUE_RAW]]),-1))</f>
        <v>0</v>
      </c>
      <c r="T22" s="22">
        <v>2</v>
      </c>
      <c r="U22" s="70">
        <v>2</v>
      </c>
      <c r="V22" s="22" t="b">
        <f ca="1">IF(NOT(DB_TBL_DATA_FIELDS[[#This Row],[RANGE_VALIDATION_ON_FLAG]]),TRUE,
AND(DB_TBL_DATA_FIELDS[[#This Row],[RANGE_VALUE_LEN]]&gt;=DB_TBL_DATA_FIELDS[[#This Row],[RANGE_VALIDATION_MIN]],DB_TBL_DATA_FIELDS[[#This Row],[RANGE_VALUE_LEN]]&lt;=DB_TBL_DATA_FIELDS[[#This Row],[RANGE_VALIDATION_MAX]]))</f>
        <v>0</v>
      </c>
      <c r="W22" s="22">
        <v>1</v>
      </c>
      <c r="X22" s="22">
        <f ca="1">IF(DB_TBL_DATA_FIELDS[[#This Row],[PCT_CALC_SHOW_STATUS_CODE]]=1,
DB_TBL_DATA_FIELDS[[#This Row],[FIELD_STATUS_CODE]],
IF(AND(DB_TBL_DATA_FIELDS[[#This Row],[PCT_CALC_SHOW_STATUS_CODE]]=2,DB_TBL_DATA_FIELDS[[#This Row],[FIELD_STATUS_CODE]]=0),
DB_TBL_DATA_FIELDS[[#This Row],[FIELD_STATUS_CODE]],
"")
)</f>
        <v>1</v>
      </c>
      <c r="Y22" s="22"/>
      <c r="Z22" s="12" t="s">
        <v>2262</v>
      </c>
      <c r="AA22" s="12" t="s">
        <v>2423</v>
      </c>
      <c r="AB22" s="12"/>
      <c r="AC22" s="12"/>
      <c r="AD22" s="12"/>
      <c r="AE22" s="8"/>
    </row>
    <row r="23" spans="1:31" x14ac:dyDescent="0.3">
      <c r="A23" s="10" t="s">
        <v>2790</v>
      </c>
      <c r="B23" s="7" t="str">
        <f>IFERROR(IF(FIND(DATA_EFORM_TYPE_CODE,DB_TBL_DATA_FIELDS[[#This Row],[APPLICABLE_EFORM_LIST]])&gt;0,DATA_EFORM_TYPE_CODE,""),"")</f>
        <v>AHEAD</v>
      </c>
      <c r="C23" s="56" t="s">
        <v>2244</v>
      </c>
      <c r="D23" s="4" t="b">
        <v>0</v>
      </c>
      <c r="E23" s="27" t="b">
        <v>1</v>
      </c>
      <c r="F23" s="6" t="s">
        <v>2235</v>
      </c>
      <c r="G23" s="10" t="str">
        <f ca="1">IFERROR(VLOOKUP(DB_TBL_DATA_FIELDS[[#This Row],[FIELD_ID]],INDIRECT(DB_TBL_DATA_FIELDS[[#This Row],[SHEET_REF_CALC]]&amp;"!A:B"),2,FALSE),"")</f>
        <v/>
      </c>
      <c r="H23" s="44" t="b">
        <f ca="1">NOT(LEFT(DB_TBL_DATA_FIELDS[[#This Row],[FIELD_VALUE_RAW]],1)="-")</f>
        <v>1</v>
      </c>
      <c r="I23" s="21" t="b">
        <f ca="1">(DB_TBL_DATA_FIELDS[[#This Row],[FIELD_VALUE_RAW]]="")</f>
        <v>1</v>
      </c>
      <c r="J23" s="21" t="s">
        <v>9</v>
      </c>
      <c r="K23" s="22" t="b">
        <f ca="1">AND(IF(DB_TBL_DATA_FIELDS[[#This Row],[FIELD_VALID_CUSTOM_LOGIC]]="",TRUE,DB_TBL_DATA_FIELDS[[#This Row],[FIELD_VALID_CUSTOM_LOGIC]]),DB_TBL_DATA_FIELDS[[#This Row],[RANGE_VALIDATION_PASSED_FLAG]])</f>
        <v>0</v>
      </c>
      <c r="L23" s="23"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23" s="330">
        <f ca="1">IF(DB_TBL_DATA_FIELDS[[#This Row],[SHEET_REF_CALC]]="","",IF(DB_TBL_DATA_FIELDS[[#This Row],[FIELD_EMPTY_FLAG]],IF(NOT(DB_TBL_DATA_FIELDS[[#This Row],[FIELD_REQ_FLAG]]),-1,1),IF(NOT(DB_TBL_DATA_FIELDS[[#This Row],[FIELD_VALID_FLAG]]),0,2)))</f>
        <v>1</v>
      </c>
      <c r="N23" s="22" t="str">
        <f ca="1">IFERROR(VLOOKUP(DB_TBL_DATA_FIELDS[[#This Row],[FIELD_STATUS_CODE]],DB_TBL_CONFIG_FIELDSTATUSCODES[#All],3,FALSE),"")</f>
        <v>Required</v>
      </c>
      <c r="O23" s="22" t="str">
        <f ca="1">IFERROR(VLOOKUP(DB_TBL_DATA_FIELDS[[#This Row],[FIELD_STATUS_CODE]],DB_TBL_CONFIG_FIELDSTATUSCODES[#All],4,FALSE),"")</f>
        <v>i</v>
      </c>
      <c r="P23" s="22" t="b">
        <f>TRUE</f>
        <v>1</v>
      </c>
      <c r="Q23" s="22" t="b">
        <f>TRUE</f>
        <v>1</v>
      </c>
      <c r="R23" s="20" t="s">
        <v>9</v>
      </c>
      <c r="S23" s="22">
        <f ca="1">IF(DB_TBL_DATA_FIELDS[[#This Row],[RANGE_VALIDATION_FLAG]]="Text",LEN(DB_TBL_DATA_FIELDS[[#This Row],[FIELD_VALUE_RAW]]),IFERROR(VALUE(DB_TBL_DATA_FIELDS[[#This Row],[FIELD_VALUE_RAW]]),-1))</f>
        <v>0</v>
      </c>
      <c r="T23" s="22">
        <v>5</v>
      </c>
      <c r="U23" s="70">
        <v>10</v>
      </c>
      <c r="V23" s="22" t="b">
        <f ca="1">IF(NOT(DB_TBL_DATA_FIELDS[[#This Row],[RANGE_VALIDATION_ON_FLAG]]),TRUE,
AND(DB_TBL_DATA_FIELDS[[#This Row],[RANGE_VALUE_LEN]]&gt;=DB_TBL_DATA_FIELDS[[#This Row],[RANGE_VALIDATION_MIN]],DB_TBL_DATA_FIELDS[[#This Row],[RANGE_VALUE_LEN]]&lt;=DB_TBL_DATA_FIELDS[[#This Row],[RANGE_VALIDATION_MAX]]))</f>
        <v>0</v>
      </c>
      <c r="W23" s="17">
        <v>1</v>
      </c>
      <c r="X23" s="17">
        <f ca="1">IF(DB_TBL_DATA_FIELDS[[#This Row],[PCT_CALC_SHOW_STATUS_CODE]]=1,
DB_TBL_DATA_FIELDS[[#This Row],[FIELD_STATUS_CODE]],
IF(AND(DB_TBL_DATA_FIELDS[[#This Row],[PCT_CALC_SHOW_STATUS_CODE]]=2,DB_TBL_DATA_FIELDS[[#This Row],[FIELD_STATUS_CODE]]=0),
DB_TBL_DATA_FIELDS[[#This Row],[FIELD_STATUS_CODE]],
"")
)</f>
        <v>1</v>
      </c>
      <c r="Y23" s="17"/>
      <c r="Z23" s="12" t="s">
        <v>2263</v>
      </c>
      <c r="AA23" s="12" t="s">
        <v>2423</v>
      </c>
      <c r="AB23" s="12"/>
      <c r="AC23" s="12"/>
      <c r="AD23" s="12"/>
      <c r="AE23" s="8"/>
    </row>
    <row r="24" spans="1:31" x14ac:dyDescent="0.3">
      <c r="A24" s="10" t="s">
        <v>2790</v>
      </c>
      <c r="B24" s="7" t="str">
        <f>IFERROR(IF(FIND(DATA_EFORM_TYPE_CODE,DB_TBL_DATA_FIELDS[[#This Row],[APPLICABLE_EFORM_LIST]])&gt;0,DATA_EFORM_TYPE_CODE,""),"")</f>
        <v>AHEAD</v>
      </c>
      <c r="C24" s="33" t="s">
        <v>2245</v>
      </c>
      <c r="D24" s="4" t="b">
        <v>0</v>
      </c>
      <c r="E24" s="27" t="b">
        <v>1</v>
      </c>
      <c r="F24" s="6" t="s">
        <v>2236</v>
      </c>
      <c r="G24" s="10" t="str">
        <f ca="1">IFERROR(VLOOKUP(DB_TBL_DATA_FIELDS[[#This Row],[FIELD_ID]],INDIRECT(DB_TBL_DATA_FIELDS[[#This Row],[SHEET_REF_CALC]]&amp;"!A:B"),2,FALSE),"")</f>
        <v/>
      </c>
      <c r="H24" s="43" t="b">
        <f ca="1">AND(
IFERROR(SEARCH(".",DB_TBL_DATA_FIELDS[[#This Row],[FIELD_VALUE_RAW]],(SEARCH("@",DB_TBL_DATA_FIELDS[[#This Row],[FIELD_VALUE_RAW]],1))+2),0)&gt;0,
NOT(IFERROR(SEARCH(".",RIGHT(DB_TBL_DATA_FIELDS[[#This Row],[FIELD_VALUE_RAW]],2)),0)&gt;0)
)</f>
        <v>0</v>
      </c>
      <c r="I24" s="21" t="b">
        <f ca="1">(DB_TBL_DATA_FIELDS[[#This Row],[FIELD_VALUE_RAW]]="")</f>
        <v>1</v>
      </c>
      <c r="J24" s="21" t="s">
        <v>9</v>
      </c>
      <c r="K24" s="22" t="b">
        <f ca="1">AND(IF(DB_TBL_DATA_FIELDS[[#This Row],[FIELD_VALID_CUSTOM_LOGIC]]="",TRUE,DB_TBL_DATA_FIELDS[[#This Row],[FIELD_VALID_CUSTOM_LOGIC]]),DB_TBL_DATA_FIELDS[[#This Row],[RANGE_VALIDATION_PASSED_FLAG]])</f>
        <v>0</v>
      </c>
      <c r="L24" s="23"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24" s="330">
        <f ca="1">IF(DB_TBL_DATA_FIELDS[[#This Row],[SHEET_REF_CALC]]="","",IF(DB_TBL_DATA_FIELDS[[#This Row],[FIELD_EMPTY_FLAG]],IF(NOT(DB_TBL_DATA_FIELDS[[#This Row],[FIELD_REQ_FLAG]]),-1,1),IF(NOT(DB_TBL_DATA_FIELDS[[#This Row],[FIELD_VALID_FLAG]]),0,2)))</f>
        <v>1</v>
      </c>
      <c r="N24" s="22" t="str">
        <f ca="1">IFERROR(VLOOKUP(DB_TBL_DATA_FIELDS[[#This Row],[FIELD_STATUS_CODE]],DB_TBL_CONFIG_FIELDSTATUSCODES[#All],3,FALSE),"")</f>
        <v>Required</v>
      </c>
      <c r="O24" s="22" t="str">
        <f ca="1">IFERROR(VLOOKUP(DB_TBL_DATA_FIELDS[[#This Row],[FIELD_STATUS_CODE]],DB_TBL_CONFIG_FIELDSTATUSCODES[#All],4,FALSE),"")</f>
        <v>i</v>
      </c>
      <c r="P24" s="22" t="b">
        <f>TRUE</f>
        <v>1</v>
      </c>
      <c r="Q24" s="22" t="b">
        <f>TRUE</f>
        <v>1</v>
      </c>
      <c r="R24" s="20" t="s">
        <v>9</v>
      </c>
      <c r="S24" s="22">
        <f ca="1">IF(DB_TBL_DATA_FIELDS[[#This Row],[RANGE_VALIDATION_FLAG]]="Text",LEN(DB_TBL_DATA_FIELDS[[#This Row],[FIELD_VALUE_RAW]]),IFERROR(VALUE(DB_TBL_DATA_FIELDS[[#This Row],[FIELD_VALUE_RAW]]),-1))</f>
        <v>0</v>
      </c>
      <c r="T24" s="22">
        <v>0</v>
      </c>
      <c r="U24" s="70">
        <v>150</v>
      </c>
      <c r="V24" s="22" t="b">
        <f ca="1">IF(NOT(DB_TBL_DATA_FIELDS[[#This Row],[RANGE_VALIDATION_ON_FLAG]]),TRUE,
AND(DB_TBL_DATA_FIELDS[[#This Row],[RANGE_VALUE_LEN]]&gt;=DB_TBL_DATA_FIELDS[[#This Row],[RANGE_VALIDATION_MIN]],DB_TBL_DATA_FIELDS[[#This Row],[RANGE_VALUE_LEN]]&lt;=DB_TBL_DATA_FIELDS[[#This Row],[RANGE_VALIDATION_MAX]]))</f>
        <v>1</v>
      </c>
      <c r="W24" s="17">
        <v>1</v>
      </c>
      <c r="X24" s="17">
        <f ca="1">IF(DB_TBL_DATA_FIELDS[[#This Row],[PCT_CALC_SHOW_STATUS_CODE]]=1,
DB_TBL_DATA_FIELDS[[#This Row],[FIELD_STATUS_CODE]],
IF(AND(DB_TBL_DATA_FIELDS[[#This Row],[PCT_CALC_SHOW_STATUS_CODE]]=2,DB_TBL_DATA_FIELDS[[#This Row],[FIELD_STATUS_CODE]]=0),
DB_TBL_DATA_FIELDS[[#This Row],[FIELD_STATUS_CODE]],
"")
)</f>
        <v>1</v>
      </c>
      <c r="Y24" s="75" t="str">
        <f ca="1">IF(DB_TBL_DATA_FIELDS[[#This Row],[FIELD_STATUS_CODE]]=0,IF(NOT(DB_TBL_DATA_FIELDS[[#This Row],[FIELD_VALID_CUSTOM_LOGIC]]),
IF(IFERROR(SEARCH(".",RIGHT(DB_TBL_DATA_FIELDS[[#This Row],[FIELD_VALUE_RAW]],2)),0)&gt;0,"Invalid Domain Extension",
 IF(IFERROR(SEARCH("@",DB_TBL_DATA_FIELDS[[#This Row],[FIELD_VALUE_RAW]]),0)=0,"Missing '@' In Address",
  IF(IFERROR(SEARCH(".",DB_TBL_DATA_FIELDS[[#This Row],[FIELD_VALUE_RAW]],(SEARCH("@",DB_TBL_DATA_FIELDS[[#This Row],[FIELD_VALUE_RAW]],1))+2),0)=0,"Invalid Domain Name","Invalid Email Address")))),"")</f>
        <v/>
      </c>
      <c r="Z24" s="12" t="s">
        <v>2264</v>
      </c>
      <c r="AA24" s="12" t="s">
        <v>2423</v>
      </c>
      <c r="AB24" s="12"/>
      <c r="AC24" s="12"/>
      <c r="AD24" s="12"/>
      <c r="AE24" s="8"/>
    </row>
    <row r="25" spans="1:31" ht="13.5" thickBot="1" x14ac:dyDescent="0.35">
      <c r="A25" s="62" t="s">
        <v>2790</v>
      </c>
      <c r="B25" s="58" t="str">
        <f>IFERROR(IF(FIND(DATA_EFORM_TYPE_CODE,DB_TBL_DATA_FIELDS[[#This Row],[APPLICABLE_EFORM_LIST]])&gt;0,DATA_EFORM_TYPE_CODE,""),"")</f>
        <v>AHEAD</v>
      </c>
      <c r="C25" s="55" t="s">
        <v>2246</v>
      </c>
      <c r="D25" s="57" t="b">
        <v>0</v>
      </c>
      <c r="E25" s="65" t="b">
        <v>1</v>
      </c>
      <c r="F25" s="61" t="s">
        <v>2237</v>
      </c>
      <c r="G25" s="62" t="str">
        <f ca="1">IFERROR(VLOOKUP(DB_TBL_DATA_FIELDS[[#This Row],[FIELD_ID]],INDIRECT(DB_TBL_DATA_FIELDS[[#This Row],[SHEET_REF_CALC]]&amp;"!A:B"),2,FALSE),"")</f>
        <v/>
      </c>
      <c r="H25" s="66"/>
      <c r="I25" s="67" t="b">
        <f ca="1">(DB_TBL_DATA_FIELDS[[#This Row],[FIELD_VALUE_RAW]]="")</f>
        <v>1</v>
      </c>
      <c r="J25" s="67" t="s">
        <v>9</v>
      </c>
      <c r="K25" s="59" t="b">
        <f ca="1">AND(IF(DB_TBL_DATA_FIELDS[[#This Row],[FIELD_VALID_CUSTOM_LOGIC]]="",TRUE,DB_TBL_DATA_FIELDS[[#This Row],[FIELD_VALID_CUSTOM_LOGIC]]),DB_TBL_DATA_FIELDS[[#This Row],[RANGE_VALIDATION_PASSED_FLAG]])</f>
        <v>1</v>
      </c>
      <c r="L25" s="66"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25" s="331">
        <f ca="1">IF(DB_TBL_DATA_FIELDS[[#This Row],[SHEET_REF_CALC]]="","",IF(DB_TBL_DATA_FIELDS[[#This Row],[FIELD_EMPTY_FLAG]],IF(NOT(DB_TBL_DATA_FIELDS[[#This Row],[FIELD_REQ_FLAG]]),-1,1),IF(NOT(DB_TBL_DATA_FIELDS[[#This Row],[FIELD_VALID_FLAG]]),0,2)))</f>
        <v>1</v>
      </c>
      <c r="N25" s="59" t="str">
        <f ca="1">IFERROR(VLOOKUP(DB_TBL_DATA_FIELDS[[#This Row],[FIELD_STATUS_CODE]],DB_TBL_CONFIG_FIELDSTATUSCODES[#All],3,FALSE),"")</f>
        <v>Required</v>
      </c>
      <c r="O25" s="59" t="str">
        <f ca="1">IFERROR(VLOOKUP(DB_TBL_DATA_FIELDS[[#This Row],[FIELD_STATUS_CODE]],DB_TBL_CONFIG_FIELDSTATUSCODES[#All],4,FALSE),"")</f>
        <v>i</v>
      </c>
      <c r="P25" s="59" t="b">
        <f>TRUE</f>
        <v>1</v>
      </c>
      <c r="Q25" s="59" t="b">
        <f>TRUE</f>
        <v>1</v>
      </c>
      <c r="R25" s="63" t="s">
        <v>9</v>
      </c>
      <c r="S25" s="59">
        <f ca="1">IF(DB_TBL_DATA_FIELDS[[#This Row],[RANGE_VALIDATION_FLAG]]="Text",LEN(DB_TBL_DATA_FIELDS[[#This Row],[FIELD_VALUE_RAW]]),IFERROR(VALUE(DB_TBL_DATA_FIELDS[[#This Row],[FIELD_VALUE_RAW]]),-1))</f>
        <v>0</v>
      </c>
      <c r="T25" s="59">
        <v>0</v>
      </c>
      <c r="U25" s="71">
        <v>150</v>
      </c>
      <c r="V25" s="59" t="b">
        <f ca="1">IF(NOT(DB_TBL_DATA_FIELDS[[#This Row],[RANGE_VALIDATION_ON_FLAG]]),TRUE,
AND(DB_TBL_DATA_FIELDS[[#This Row],[RANGE_VALUE_LEN]]&gt;=DB_TBL_DATA_FIELDS[[#This Row],[RANGE_VALIDATION_MIN]],DB_TBL_DATA_FIELDS[[#This Row],[RANGE_VALUE_LEN]]&lt;=DB_TBL_DATA_FIELDS[[#This Row],[RANGE_VALIDATION_MAX]]))</f>
        <v>1</v>
      </c>
      <c r="W25" s="59">
        <v>1</v>
      </c>
      <c r="X25" s="59">
        <f ca="1">IF(DB_TBL_DATA_FIELDS[[#This Row],[PCT_CALC_SHOW_STATUS_CODE]]=1,
DB_TBL_DATA_FIELDS[[#This Row],[FIELD_STATUS_CODE]],
IF(AND(DB_TBL_DATA_FIELDS[[#This Row],[PCT_CALC_SHOW_STATUS_CODE]]=2,DB_TBL_DATA_FIELDS[[#This Row],[FIELD_STATUS_CODE]]=0),
DB_TBL_DATA_FIELDS[[#This Row],[FIELD_STATUS_CODE]],
"")
)</f>
        <v>1</v>
      </c>
      <c r="Y25" s="59"/>
      <c r="Z25" s="62" t="s">
        <v>2265</v>
      </c>
      <c r="AA25" s="62" t="s">
        <v>2423</v>
      </c>
      <c r="AB25" s="62"/>
      <c r="AC25" s="62"/>
      <c r="AD25" s="62"/>
      <c r="AE25" s="58"/>
    </row>
    <row r="26" spans="1:31" x14ac:dyDescent="0.3">
      <c r="A26" s="10" t="s">
        <v>2790</v>
      </c>
      <c r="B26" s="7" t="str">
        <f>IFERROR(IF(FIND(DATA_EFORM_TYPE_CODE,DB_TBL_DATA_FIELDS[[#This Row],[APPLICABLE_EFORM_LIST]])&gt;0,DATA_EFORM_TYPE_CODE,""),"")</f>
        <v>AHEAD</v>
      </c>
      <c r="C26" s="4" t="s">
        <v>152</v>
      </c>
      <c r="D26" s="4" t="b">
        <v>0</v>
      </c>
      <c r="E26" s="26" t="b">
        <v>1</v>
      </c>
      <c r="F26" s="6" t="s">
        <v>161</v>
      </c>
      <c r="G26" s="10" t="str">
        <f ca="1">IFERROR(VLOOKUP(DB_TBL_DATA_FIELDS[[#This Row],[FIELD_ID]],INDIRECT(DB_TBL_DATA_FIELDS[[#This Row],[SHEET_REF_CALC]]&amp;"!A:B"),2,FALSE),"")</f>
        <v/>
      </c>
      <c r="H26" s="10"/>
      <c r="I26" s="2" t="b">
        <f ca="1">(DB_TBL_DATA_FIELDS[[#This Row],[FIELD_VALUE_RAW]]="")</f>
        <v>1</v>
      </c>
      <c r="J26" s="6" t="s">
        <v>9</v>
      </c>
      <c r="K26" s="7" t="b">
        <f ca="1">AND(IF(DB_TBL_DATA_FIELDS[[#This Row],[FIELD_VALID_CUSTOM_LOGIC]]="",TRUE,DB_TBL_DATA_FIELDS[[#This Row],[FIELD_VALID_CUSTOM_LOGIC]]),DB_TBL_DATA_FIELDS[[#This Row],[RANGE_VALIDATION_PASSED_FLAG]])</f>
        <v>1</v>
      </c>
      <c r="L26"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26" s="326">
        <f ca="1">IF(DB_TBL_DATA_FIELDS[[#This Row],[SHEET_REF_CALC]]="","",IF(DB_TBL_DATA_FIELDS[[#This Row],[FIELD_EMPTY_FLAG]],IF(NOT(DB_TBL_DATA_FIELDS[[#This Row],[FIELD_REQ_FLAG]]),-1,1),IF(NOT(DB_TBL_DATA_FIELDS[[#This Row],[FIELD_VALID_FLAG]]),0,2)))</f>
        <v>1</v>
      </c>
      <c r="N26" s="7" t="str">
        <f ca="1">IFERROR(VLOOKUP(DB_TBL_DATA_FIELDS[[#This Row],[FIELD_STATUS_CODE]],DB_TBL_CONFIG_FIELDSTATUSCODES[#All],3,FALSE),"")</f>
        <v>Required</v>
      </c>
      <c r="O26" s="7" t="str">
        <f ca="1">IFERROR(VLOOKUP(DB_TBL_DATA_FIELDS[[#This Row],[FIELD_STATUS_CODE]],DB_TBL_CONFIG_FIELDSTATUSCODES[#All],4,FALSE),"")</f>
        <v>i</v>
      </c>
      <c r="P26" s="7" t="b">
        <f>TRUE</f>
        <v>1</v>
      </c>
      <c r="Q26" s="7" t="b">
        <f>TRUE</f>
        <v>1</v>
      </c>
      <c r="R26" s="4" t="s">
        <v>9</v>
      </c>
      <c r="S26" s="7">
        <f ca="1">IF(DB_TBL_DATA_FIELDS[[#This Row],[RANGE_VALIDATION_FLAG]]="Text",LEN(DB_TBL_DATA_FIELDS[[#This Row],[FIELD_VALUE_RAW]]),IFERROR(VALUE(DB_TBL_DATA_FIELDS[[#This Row],[FIELD_VALUE_RAW]]),-1))</f>
        <v>0</v>
      </c>
      <c r="T26" s="8">
        <v>0</v>
      </c>
      <c r="U26" s="35">
        <v>150</v>
      </c>
      <c r="V26" s="7" t="b">
        <f ca="1">IF(NOT(DB_TBL_DATA_FIELDS[[#This Row],[RANGE_VALIDATION_ON_FLAG]]),TRUE,
AND(DB_TBL_DATA_FIELDS[[#This Row],[RANGE_VALUE_LEN]]&gt;=DB_TBL_DATA_FIELDS[[#This Row],[RANGE_VALIDATION_MIN]],DB_TBL_DATA_FIELDS[[#This Row],[RANGE_VALUE_LEN]]&lt;=DB_TBL_DATA_FIELDS[[#This Row],[RANGE_VALIDATION_MAX]]))</f>
        <v>1</v>
      </c>
      <c r="W26" s="17">
        <v>1</v>
      </c>
      <c r="X26" s="17">
        <f ca="1">IF(DB_TBL_DATA_FIELDS[[#This Row],[PCT_CALC_SHOW_STATUS_CODE]]=1,
DB_TBL_DATA_FIELDS[[#This Row],[FIELD_STATUS_CODE]],
IF(AND(DB_TBL_DATA_FIELDS[[#This Row],[PCT_CALC_SHOW_STATUS_CODE]]=2,DB_TBL_DATA_FIELDS[[#This Row],[FIELD_STATUS_CODE]]=0),
DB_TBL_DATA_FIELDS[[#This Row],[FIELD_STATUS_CODE]],
"")
)</f>
        <v>1</v>
      </c>
      <c r="Y26" s="17"/>
      <c r="Z26" s="12" t="s">
        <v>2266</v>
      </c>
      <c r="AA26" s="10" t="s">
        <v>2249</v>
      </c>
      <c r="AB26" s="10"/>
      <c r="AC26" s="10"/>
      <c r="AD26" s="10"/>
      <c r="AE26" s="7"/>
    </row>
    <row r="27" spans="1:31" x14ac:dyDescent="0.3">
      <c r="A27" s="10" t="s">
        <v>2790</v>
      </c>
      <c r="B27" s="7" t="str">
        <f>IFERROR(IF(FIND(DATA_EFORM_TYPE_CODE,DB_TBL_DATA_FIELDS[[#This Row],[APPLICABLE_EFORM_LIST]])&gt;0,DATA_EFORM_TYPE_CODE,""),"")</f>
        <v>AHEAD</v>
      </c>
      <c r="C27" s="4" t="s">
        <v>154</v>
      </c>
      <c r="D27" s="4" t="b">
        <v>0</v>
      </c>
      <c r="E27" s="27" t="b">
        <v>1</v>
      </c>
      <c r="F27" s="21" t="s">
        <v>144</v>
      </c>
      <c r="G27" s="10" t="str">
        <f ca="1">IFERROR(VLOOKUP(DB_TBL_DATA_FIELDS[[#This Row],[FIELD_ID]],INDIRECT(DB_TBL_DATA_FIELDS[[#This Row],[SHEET_REF_CALC]]&amp;"!A:B"),2,FALSE),"")</f>
        <v/>
      </c>
      <c r="H27" s="10"/>
      <c r="I27" s="2" t="b">
        <f ca="1">(DB_TBL_DATA_FIELDS[[#This Row],[FIELD_VALUE_RAW]]="")</f>
        <v>1</v>
      </c>
      <c r="J27" s="21" t="s">
        <v>9</v>
      </c>
      <c r="K27" s="7" t="b">
        <f ca="1">AND(IF(DB_TBL_DATA_FIELDS[[#This Row],[FIELD_VALID_CUSTOM_LOGIC]]="",TRUE,DB_TBL_DATA_FIELDS[[#This Row],[FIELD_VALID_CUSTOM_LOGIC]]),DB_TBL_DATA_FIELDS[[#This Row],[RANGE_VALIDATION_PASSED_FLAG]])</f>
        <v>1</v>
      </c>
      <c r="L27"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27" s="326">
        <f ca="1">IF(DB_TBL_DATA_FIELDS[[#This Row],[SHEET_REF_CALC]]="","",IF(DB_TBL_DATA_FIELDS[[#This Row],[FIELD_EMPTY_FLAG]],IF(NOT(DB_TBL_DATA_FIELDS[[#This Row],[FIELD_REQ_FLAG]]),-1,1),IF(NOT(DB_TBL_DATA_FIELDS[[#This Row],[FIELD_VALID_FLAG]]),0,2)))</f>
        <v>1</v>
      </c>
      <c r="N27" s="7" t="str">
        <f ca="1">IFERROR(VLOOKUP(DB_TBL_DATA_FIELDS[[#This Row],[FIELD_STATUS_CODE]],DB_TBL_CONFIG_FIELDSTATUSCODES[#All],3,FALSE),"")</f>
        <v>Required</v>
      </c>
      <c r="O27" s="7" t="str">
        <f ca="1">IFERROR(VLOOKUP(DB_TBL_DATA_FIELDS[[#This Row],[FIELD_STATUS_CODE]],DB_TBL_CONFIG_FIELDSTATUSCODES[#All],4,FALSE),"")</f>
        <v>i</v>
      </c>
      <c r="P27" s="7" t="b">
        <f>TRUE</f>
        <v>1</v>
      </c>
      <c r="Q27" s="7" t="b">
        <f>TRUE</f>
        <v>1</v>
      </c>
      <c r="R27" s="20" t="s">
        <v>9</v>
      </c>
      <c r="S27" s="7">
        <f ca="1">IF(DB_TBL_DATA_FIELDS[[#This Row],[RANGE_VALIDATION_FLAG]]="Text",LEN(DB_TBL_DATA_FIELDS[[#This Row],[FIELD_VALUE_RAW]]),IFERROR(VALUE(DB_TBL_DATA_FIELDS[[#This Row],[FIELD_VALUE_RAW]]),-1))</f>
        <v>0</v>
      </c>
      <c r="T27" s="22">
        <v>0</v>
      </c>
      <c r="U27" s="70">
        <v>150</v>
      </c>
      <c r="V27" s="7" t="b">
        <f ca="1">IF(NOT(DB_TBL_DATA_FIELDS[[#This Row],[RANGE_VALIDATION_ON_FLAG]]),TRUE,
AND(DB_TBL_DATA_FIELDS[[#This Row],[RANGE_VALUE_LEN]]&gt;=DB_TBL_DATA_FIELDS[[#This Row],[RANGE_VALIDATION_MIN]],DB_TBL_DATA_FIELDS[[#This Row],[RANGE_VALUE_LEN]]&lt;=DB_TBL_DATA_FIELDS[[#This Row],[RANGE_VALIDATION_MAX]]))</f>
        <v>1</v>
      </c>
      <c r="W27" s="17">
        <v>1</v>
      </c>
      <c r="X27" s="17">
        <f ca="1">IF(DB_TBL_DATA_FIELDS[[#This Row],[PCT_CALC_SHOW_STATUS_CODE]]=1,
DB_TBL_DATA_FIELDS[[#This Row],[FIELD_STATUS_CODE]],
IF(AND(DB_TBL_DATA_FIELDS[[#This Row],[PCT_CALC_SHOW_STATUS_CODE]]=2,DB_TBL_DATA_FIELDS[[#This Row],[FIELD_STATUS_CODE]]=0),
DB_TBL_DATA_FIELDS[[#This Row],[FIELD_STATUS_CODE]],
"")
)</f>
        <v>1</v>
      </c>
      <c r="Y27" s="17"/>
      <c r="Z27" s="12" t="s">
        <v>2267</v>
      </c>
      <c r="AA27" s="10" t="s">
        <v>2249</v>
      </c>
      <c r="AB27" s="10"/>
      <c r="AC27" s="10"/>
      <c r="AD27" s="10"/>
      <c r="AE27" s="7"/>
    </row>
    <row r="28" spans="1:31" x14ac:dyDescent="0.3">
      <c r="A28" s="10" t="s">
        <v>2790</v>
      </c>
      <c r="B28" s="7" t="str">
        <f>IFERROR(IF(FIND(DATA_EFORM_TYPE_CODE,DB_TBL_DATA_FIELDS[[#This Row],[APPLICABLE_EFORM_LIST]])&gt;0,DATA_EFORM_TYPE_CODE,""),"")</f>
        <v>AHEAD</v>
      </c>
      <c r="C28" s="4" t="s">
        <v>155</v>
      </c>
      <c r="D28" s="4" t="b">
        <v>0</v>
      </c>
      <c r="E28" s="36" t="b">
        <v>1</v>
      </c>
      <c r="F28" s="21" t="s">
        <v>145</v>
      </c>
      <c r="G28" s="10" t="str">
        <f ca="1">IFERROR(VLOOKUP(DB_TBL_DATA_FIELDS[[#This Row],[FIELD_ID]],INDIRECT(DB_TBL_DATA_FIELDS[[#This Row],[SHEET_REF_CALC]]&amp;"!A:B"),2,FALSE),"")</f>
        <v/>
      </c>
      <c r="H28" s="10"/>
      <c r="I28" s="2" t="b">
        <f ca="1">(DB_TBL_DATA_FIELDS[[#This Row],[FIELD_VALUE_RAW]]="")</f>
        <v>1</v>
      </c>
      <c r="J28" s="21" t="s">
        <v>9</v>
      </c>
      <c r="K28" s="7" t="b">
        <f ca="1">AND(IF(DB_TBL_DATA_FIELDS[[#This Row],[FIELD_VALID_CUSTOM_LOGIC]]="",TRUE,DB_TBL_DATA_FIELDS[[#This Row],[FIELD_VALID_CUSTOM_LOGIC]]),DB_TBL_DATA_FIELDS[[#This Row],[RANGE_VALIDATION_PASSED_FLAG]])</f>
        <v>1</v>
      </c>
      <c r="L28"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28" s="326">
        <f ca="1">IF(DB_TBL_DATA_FIELDS[[#This Row],[SHEET_REF_CALC]]="","",IF(DB_TBL_DATA_FIELDS[[#This Row],[FIELD_EMPTY_FLAG]],IF(NOT(DB_TBL_DATA_FIELDS[[#This Row],[FIELD_REQ_FLAG]]),-1,1),IF(NOT(DB_TBL_DATA_FIELDS[[#This Row],[FIELD_VALID_FLAG]]),0,2)))</f>
        <v>1</v>
      </c>
      <c r="N28" s="7" t="str">
        <f ca="1">IFERROR(VLOOKUP(DB_TBL_DATA_FIELDS[[#This Row],[FIELD_STATUS_CODE]],DB_TBL_CONFIG_FIELDSTATUSCODES[#All],3,FALSE),"")</f>
        <v>Required</v>
      </c>
      <c r="O28" s="7" t="str">
        <f ca="1">IFERROR(VLOOKUP(DB_TBL_DATA_FIELDS[[#This Row],[FIELD_STATUS_CODE]],DB_TBL_CONFIG_FIELDSTATUSCODES[#All],4,FALSE),"")</f>
        <v>i</v>
      </c>
      <c r="P28" s="7" t="b">
        <f>TRUE</f>
        <v>1</v>
      </c>
      <c r="Q28" s="7" t="b">
        <f>TRUE</f>
        <v>1</v>
      </c>
      <c r="R28" s="20" t="s">
        <v>9</v>
      </c>
      <c r="S28" s="7">
        <f ca="1">IF(DB_TBL_DATA_FIELDS[[#This Row],[RANGE_VALIDATION_FLAG]]="Text",LEN(DB_TBL_DATA_FIELDS[[#This Row],[FIELD_VALUE_RAW]]),IFERROR(VALUE(DB_TBL_DATA_FIELDS[[#This Row],[FIELD_VALUE_RAW]]),-1))</f>
        <v>0</v>
      </c>
      <c r="T28" s="22">
        <v>0</v>
      </c>
      <c r="U28" s="70">
        <v>150</v>
      </c>
      <c r="V28" s="7" t="b">
        <f ca="1">IF(NOT(DB_TBL_DATA_FIELDS[[#This Row],[RANGE_VALIDATION_ON_FLAG]]),TRUE,
AND(DB_TBL_DATA_FIELDS[[#This Row],[RANGE_VALUE_LEN]]&gt;=DB_TBL_DATA_FIELDS[[#This Row],[RANGE_VALIDATION_MIN]],DB_TBL_DATA_FIELDS[[#This Row],[RANGE_VALUE_LEN]]&lt;=DB_TBL_DATA_FIELDS[[#This Row],[RANGE_VALIDATION_MAX]]))</f>
        <v>1</v>
      </c>
      <c r="W28" s="17">
        <v>1</v>
      </c>
      <c r="X28" s="17">
        <f ca="1">IF(DB_TBL_DATA_FIELDS[[#This Row],[PCT_CALC_SHOW_STATUS_CODE]]=1,
DB_TBL_DATA_FIELDS[[#This Row],[FIELD_STATUS_CODE]],
IF(AND(DB_TBL_DATA_FIELDS[[#This Row],[PCT_CALC_SHOW_STATUS_CODE]]=2,DB_TBL_DATA_FIELDS[[#This Row],[FIELD_STATUS_CODE]]=0),
DB_TBL_DATA_FIELDS[[#This Row],[FIELD_STATUS_CODE]],
"")
)</f>
        <v>1</v>
      </c>
      <c r="Y28" s="17"/>
      <c r="Z28" s="12" t="s">
        <v>2268</v>
      </c>
      <c r="AA28" s="10" t="s">
        <v>2249</v>
      </c>
      <c r="AB28" s="10"/>
      <c r="AC28" s="10"/>
      <c r="AD28" s="10"/>
      <c r="AE28" s="7"/>
    </row>
    <row r="29" spans="1:31" x14ac:dyDescent="0.3">
      <c r="A29" s="10" t="s">
        <v>2790</v>
      </c>
      <c r="B29" s="7" t="str">
        <f>IFERROR(IF(FIND(DATA_EFORM_TYPE_CODE,DB_TBL_DATA_FIELDS[[#This Row],[APPLICABLE_EFORM_LIST]])&gt;0,DATA_EFORM_TYPE_CODE,""),"")</f>
        <v>AHEAD</v>
      </c>
      <c r="C29" s="4" t="s">
        <v>156</v>
      </c>
      <c r="D29" s="4" t="b">
        <v>0</v>
      </c>
      <c r="E29" s="36" t="b">
        <v>1</v>
      </c>
      <c r="F29" s="21" t="s">
        <v>147</v>
      </c>
      <c r="G29" s="10" t="str">
        <f ca="1">IFERROR(VLOOKUP(DB_TBL_DATA_FIELDS[[#This Row],[FIELD_ID]],INDIRECT(DB_TBL_DATA_FIELDS[[#This Row],[SHEET_REF_CALC]]&amp;"!A:B"),2,FALSE),"")</f>
        <v/>
      </c>
      <c r="H29" s="10"/>
      <c r="I29" s="2" t="b">
        <f ca="1">(DB_TBL_DATA_FIELDS[[#This Row],[FIELD_VALUE_RAW]]="")</f>
        <v>1</v>
      </c>
      <c r="J29" s="21" t="s">
        <v>9</v>
      </c>
      <c r="K29" s="7" t="b">
        <f ca="1">AND(IF(DB_TBL_DATA_FIELDS[[#This Row],[FIELD_VALID_CUSTOM_LOGIC]]="",TRUE,DB_TBL_DATA_FIELDS[[#This Row],[FIELD_VALID_CUSTOM_LOGIC]]),DB_TBL_DATA_FIELDS[[#This Row],[RANGE_VALIDATION_PASSED_FLAG]])</f>
        <v>1</v>
      </c>
      <c r="L29"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29" s="326">
        <f ca="1">IF(DB_TBL_DATA_FIELDS[[#This Row],[SHEET_REF_CALC]]="","",IF(DB_TBL_DATA_FIELDS[[#This Row],[FIELD_EMPTY_FLAG]],IF(NOT(DB_TBL_DATA_FIELDS[[#This Row],[FIELD_REQ_FLAG]]),-1,1),IF(NOT(DB_TBL_DATA_FIELDS[[#This Row],[FIELD_VALID_FLAG]]),0,2)))</f>
        <v>1</v>
      </c>
      <c r="N29" s="7" t="str">
        <f ca="1">IFERROR(VLOOKUP(DB_TBL_DATA_FIELDS[[#This Row],[FIELD_STATUS_CODE]],DB_TBL_CONFIG_FIELDSTATUSCODES[#All],3,FALSE),"")</f>
        <v>Required</v>
      </c>
      <c r="O29" s="7" t="str">
        <f ca="1">IFERROR(VLOOKUP(DB_TBL_DATA_FIELDS[[#This Row],[FIELD_STATUS_CODE]],DB_TBL_CONFIG_FIELDSTATUSCODES[#All],4,FALSE),"")</f>
        <v>i</v>
      </c>
      <c r="P29" s="7" t="b">
        <f>TRUE</f>
        <v>1</v>
      </c>
      <c r="Q29" s="7" t="b">
        <f>TRUE</f>
        <v>1</v>
      </c>
      <c r="R29" s="20" t="s">
        <v>9</v>
      </c>
      <c r="S29" s="7">
        <f ca="1">IF(DB_TBL_DATA_FIELDS[[#This Row],[RANGE_VALIDATION_FLAG]]="Text",LEN(DB_TBL_DATA_FIELDS[[#This Row],[FIELD_VALUE_RAW]]),IFERROR(VALUE(DB_TBL_DATA_FIELDS[[#This Row],[FIELD_VALUE_RAW]]),-1))</f>
        <v>0</v>
      </c>
      <c r="T29" s="22">
        <v>0</v>
      </c>
      <c r="U29" s="70">
        <v>60</v>
      </c>
      <c r="V29" s="7" t="b">
        <f ca="1">IF(NOT(DB_TBL_DATA_FIELDS[[#This Row],[RANGE_VALIDATION_ON_FLAG]]),TRUE,
AND(DB_TBL_DATA_FIELDS[[#This Row],[RANGE_VALUE_LEN]]&gt;=DB_TBL_DATA_FIELDS[[#This Row],[RANGE_VALIDATION_MIN]],DB_TBL_DATA_FIELDS[[#This Row],[RANGE_VALUE_LEN]]&lt;=DB_TBL_DATA_FIELDS[[#This Row],[RANGE_VALIDATION_MAX]]))</f>
        <v>1</v>
      </c>
      <c r="W29" s="17">
        <v>1</v>
      </c>
      <c r="X29" s="17">
        <f ca="1">IF(DB_TBL_DATA_FIELDS[[#This Row],[PCT_CALC_SHOW_STATUS_CODE]]=1,
DB_TBL_DATA_FIELDS[[#This Row],[FIELD_STATUS_CODE]],
IF(AND(DB_TBL_DATA_FIELDS[[#This Row],[PCT_CALC_SHOW_STATUS_CODE]]=2,DB_TBL_DATA_FIELDS[[#This Row],[FIELD_STATUS_CODE]]=0),
DB_TBL_DATA_FIELDS[[#This Row],[FIELD_STATUS_CODE]],
"")
)</f>
        <v>1</v>
      </c>
      <c r="Y29" s="17"/>
      <c r="Z29" s="12" t="s">
        <v>2269</v>
      </c>
      <c r="AA29" s="10" t="s">
        <v>2249</v>
      </c>
      <c r="AB29" s="10"/>
      <c r="AC29" s="10"/>
      <c r="AD29" s="10"/>
      <c r="AE29" s="7"/>
    </row>
    <row r="30" spans="1:31" x14ac:dyDescent="0.3">
      <c r="A30" s="10" t="s">
        <v>2790</v>
      </c>
      <c r="B30" s="7" t="str">
        <f>IFERROR(IF(FIND(DATA_EFORM_TYPE_CODE,DB_TBL_DATA_FIELDS[[#This Row],[APPLICABLE_EFORM_LIST]])&gt;0,DATA_EFORM_TYPE_CODE,""),"")</f>
        <v>AHEAD</v>
      </c>
      <c r="C30" s="4" t="s">
        <v>157</v>
      </c>
      <c r="D30" s="4" t="b">
        <v>0</v>
      </c>
      <c r="E30" s="36" t="b">
        <v>1</v>
      </c>
      <c r="F30" s="21" t="s">
        <v>148</v>
      </c>
      <c r="G30" s="10" t="str">
        <f ca="1">IFERROR(VLOOKUP(DB_TBL_DATA_FIELDS[[#This Row],[FIELD_ID]],INDIRECT(DB_TBL_DATA_FIELDS[[#This Row],[SHEET_REF_CALC]]&amp;"!A:B"),2,FALSE),"")</f>
        <v/>
      </c>
      <c r="H30" s="10"/>
      <c r="I30" s="2" t="b">
        <f ca="1">(DB_TBL_DATA_FIELDS[[#This Row],[FIELD_VALUE_RAW]]="")</f>
        <v>1</v>
      </c>
      <c r="J30" s="21" t="s">
        <v>9</v>
      </c>
      <c r="K30" s="7" t="b">
        <f ca="1">AND(IF(DB_TBL_DATA_FIELDS[[#This Row],[FIELD_VALID_CUSTOM_LOGIC]]="",TRUE,DB_TBL_DATA_FIELDS[[#This Row],[FIELD_VALID_CUSTOM_LOGIC]]),DB_TBL_DATA_FIELDS[[#This Row],[RANGE_VALIDATION_PASSED_FLAG]])</f>
        <v>1</v>
      </c>
      <c r="L30"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30" s="326">
        <f ca="1">IF(DB_TBL_DATA_FIELDS[[#This Row],[SHEET_REF_CALC]]="","",IF(DB_TBL_DATA_FIELDS[[#This Row],[FIELD_EMPTY_FLAG]],IF(NOT(DB_TBL_DATA_FIELDS[[#This Row],[FIELD_REQ_FLAG]]),-1,1),IF(NOT(DB_TBL_DATA_FIELDS[[#This Row],[FIELD_VALID_FLAG]]),0,2)))</f>
        <v>1</v>
      </c>
      <c r="N30" s="7" t="str">
        <f ca="1">IFERROR(VLOOKUP(DB_TBL_DATA_FIELDS[[#This Row],[FIELD_STATUS_CODE]],DB_TBL_CONFIG_FIELDSTATUSCODES[#All],3,FALSE),"")</f>
        <v>Required</v>
      </c>
      <c r="O30" s="7" t="str">
        <f ca="1">IFERROR(VLOOKUP(DB_TBL_DATA_FIELDS[[#This Row],[FIELD_STATUS_CODE]],DB_TBL_CONFIG_FIELDSTATUSCODES[#All],4,FALSE),"")</f>
        <v>i</v>
      </c>
      <c r="P30" s="7" t="b">
        <f>TRUE</f>
        <v>1</v>
      </c>
      <c r="Q30" s="7" t="b">
        <f>TRUE</f>
        <v>1</v>
      </c>
      <c r="R30" s="20" t="s">
        <v>9</v>
      </c>
      <c r="S30" s="7">
        <f ca="1">IF(DB_TBL_DATA_FIELDS[[#This Row],[RANGE_VALIDATION_FLAG]]="Text",LEN(DB_TBL_DATA_FIELDS[[#This Row],[FIELD_VALUE_RAW]]),IFERROR(VALUE(DB_TBL_DATA_FIELDS[[#This Row],[FIELD_VALUE_RAW]]),-1))</f>
        <v>0</v>
      </c>
      <c r="T30" s="22">
        <v>0</v>
      </c>
      <c r="U30" s="70">
        <v>30</v>
      </c>
      <c r="V30" s="7" t="b">
        <f ca="1">IF(NOT(DB_TBL_DATA_FIELDS[[#This Row],[RANGE_VALIDATION_ON_FLAG]]),TRUE,
AND(DB_TBL_DATA_FIELDS[[#This Row],[RANGE_VALUE_LEN]]&gt;=DB_TBL_DATA_FIELDS[[#This Row],[RANGE_VALIDATION_MIN]],DB_TBL_DATA_FIELDS[[#This Row],[RANGE_VALUE_LEN]]&lt;=DB_TBL_DATA_FIELDS[[#This Row],[RANGE_VALIDATION_MAX]]))</f>
        <v>1</v>
      </c>
      <c r="W30" s="17">
        <v>1</v>
      </c>
      <c r="X30" s="17">
        <f ca="1">IF(DB_TBL_DATA_FIELDS[[#This Row],[PCT_CALC_SHOW_STATUS_CODE]]=1,
DB_TBL_DATA_FIELDS[[#This Row],[FIELD_STATUS_CODE]],
IF(AND(DB_TBL_DATA_FIELDS[[#This Row],[PCT_CALC_SHOW_STATUS_CODE]]=2,DB_TBL_DATA_FIELDS[[#This Row],[FIELD_STATUS_CODE]]=0),
DB_TBL_DATA_FIELDS[[#This Row],[FIELD_STATUS_CODE]],
"")
)</f>
        <v>1</v>
      </c>
      <c r="Y30" s="17"/>
      <c r="Z30" s="12" t="s">
        <v>2270</v>
      </c>
      <c r="AA30" s="10" t="s">
        <v>2249</v>
      </c>
      <c r="AB30" s="10"/>
      <c r="AC30" s="10"/>
      <c r="AD30" s="10"/>
      <c r="AE30" s="7"/>
    </row>
    <row r="31" spans="1:31" x14ac:dyDescent="0.3">
      <c r="A31" s="10" t="s">
        <v>2790</v>
      </c>
      <c r="B31" s="7" t="str">
        <f>IFERROR(IF(FIND(DATA_EFORM_TYPE_CODE,DB_TBL_DATA_FIELDS[[#This Row],[APPLICABLE_EFORM_LIST]])&gt;0,DATA_EFORM_TYPE_CODE,""),"")</f>
        <v>AHEAD</v>
      </c>
      <c r="C31" s="4" t="s">
        <v>158</v>
      </c>
      <c r="D31" s="4" t="b">
        <v>0</v>
      </c>
      <c r="E31" s="36" t="b">
        <v>1</v>
      </c>
      <c r="F31" s="21" t="s">
        <v>149</v>
      </c>
      <c r="G31" s="10" t="str">
        <f ca="1">IFERROR(VLOOKUP(DB_TBL_DATA_FIELDS[[#This Row],[FIELD_ID]],INDIRECT(DB_TBL_DATA_FIELDS[[#This Row],[SHEET_REF_CALC]]&amp;"!A:B"),2,FALSE),"")</f>
        <v/>
      </c>
      <c r="H31" s="10"/>
      <c r="I31" s="2" t="b">
        <f ca="1">(DB_TBL_DATA_FIELDS[[#This Row],[FIELD_VALUE_RAW]]="")</f>
        <v>1</v>
      </c>
      <c r="J31" s="21" t="s">
        <v>9</v>
      </c>
      <c r="K31" s="7" t="b">
        <f ca="1">AND(IF(DB_TBL_DATA_FIELDS[[#This Row],[FIELD_VALID_CUSTOM_LOGIC]]="",TRUE,DB_TBL_DATA_FIELDS[[#This Row],[FIELD_VALID_CUSTOM_LOGIC]]),DB_TBL_DATA_FIELDS[[#This Row],[RANGE_VALIDATION_PASSED_FLAG]])</f>
        <v>0</v>
      </c>
      <c r="L31"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31" s="326">
        <f ca="1">IF(DB_TBL_DATA_FIELDS[[#This Row],[SHEET_REF_CALC]]="","",IF(DB_TBL_DATA_FIELDS[[#This Row],[FIELD_EMPTY_FLAG]],IF(NOT(DB_TBL_DATA_FIELDS[[#This Row],[FIELD_REQ_FLAG]]),-1,1),IF(NOT(DB_TBL_DATA_FIELDS[[#This Row],[FIELD_VALID_FLAG]]),0,2)))</f>
        <v>1</v>
      </c>
      <c r="N31" s="7" t="str">
        <f ca="1">IFERROR(VLOOKUP(DB_TBL_DATA_FIELDS[[#This Row],[FIELD_STATUS_CODE]],DB_TBL_CONFIG_FIELDSTATUSCODES[#All],3,FALSE),"")</f>
        <v>Required</v>
      </c>
      <c r="O31" s="7" t="str">
        <f ca="1">IFERROR(VLOOKUP(DB_TBL_DATA_FIELDS[[#This Row],[FIELD_STATUS_CODE]],DB_TBL_CONFIG_FIELDSTATUSCODES[#All],4,FALSE),"")</f>
        <v>i</v>
      </c>
      <c r="P31" s="7" t="b">
        <f>TRUE</f>
        <v>1</v>
      </c>
      <c r="Q31" s="7" t="b">
        <f>TRUE</f>
        <v>1</v>
      </c>
      <c r="R31" s="20" t="s">
        <v>9</v>
      </c>
      <c r="S31" s="7">
        <f ca="1">IF(DB_TBL_DATA_FIELDS[[#This Row],[RANGE_VALIDATION_FLAG]]="Text",LEN(DB_TBL_DATA_FIELDS[[#This Row],[FIELD_VALUE_RAW]]),IFERROR(VALUE(DB_TBL_DATA_FIELDS[[#This Row],[FIELD_VALUE_RAW]]),-1))</f>
        <v>0</v>
      </c>
      <c r="T31" s="22">
        <v>2</v>
      </c>
      <c r="U31" s="70">
        <v>2</v>
      </c>
      <c r="V31" s="7" t="b">
        <f ca="1">IF(NOT(DB_TBL_DATA_FIELDS[[#This Row],[RANGE_VALIDATION_ON_FLAG]]),TRUE,
AND(DB_TBL_DATA_FIELDS[[#This Row],[RANGE_VALUE_LEN]]&gt;=DB_TBL_DATA_FIELDS[[#This Row],[RANGE_VALIDATION_MIN]],DB_TBL_DATA_FIELDS[[#This Row],[RANGE_VALUE_LEN]]&lt;=DB_TBL_DATA_FIELDS[[#This Row],[RANGE_VALIDATION_MAX]]))</f>
        <v>0</v>
      </c>
      <c r="W31" s="17">
        <v>1</v>
      </c>
      <c r="X31" s="17">
        <f ca="1">IF(DB_TBL_DATA_FIELDS[[#This Row],[PCT_CALC_SHOW_STATUS_CODE]]=1,
DB_TBL_DATA_FIELDS[[#This Row],[FIELD_STATUS_CODE]],
IF(AND(DB_TBL_DATA_FIELDS[[#This Row],[PCT_CALC_SHOW_STATUS_CODE]]=2,DB_TBL_DATA_FIELDS[[#This Row],[FIELD_STATUS_CODE]]=0),
DB_TBL_DATA_FIELDS[[#This Row],[FIELD_STATUS_CODE]],
"")
)</f>
        <v>1</v>
      </c>
      <c r="Y31" s="17"/>
      <c r="Z31" s="12" t="s">
        <v>2271</v>
      </c>
      <c r="AA31" s="10" t="s">
        <v>2249</v>
      </c>
      <c r="AB31" s="10"/>
      <c r="AC31" s="10"/>
      <c r="AD31" s="10"/>
      <c r="AE31" s="7"/>
    </row>
    <row r="32" spans="1:31" x14ac:dyDescent="0.3">
      <c r="A32" s="10" t="s">
        <v>2790</v>
      </c>
      <c r="B32" s="7" t="str">
        <f>IFERROR(IF(FIND(DATA_EFORM_TYPE_CODE,DB_TBL_DATA_FIELDS[[#This Row],[APPLICABLE_EFORM_LIST]])&gt;0,DATA_EFORM_TYPE_CODE,""),"")</f>
        <v>AHEAD</v>
      </c>
      <c r="C32" s="4" t="s">
        <v>159</v>
      </c>
      <c r="D32" s="4" t="b">
        <v>0</v>
      </c>
      <c r="E32" s="36" t="b">
        <v>1</v>
      </c>
      <c r="F32" s="21" t="s">
        <v>150</v>
      </c>
      <c r="G32" s="10" t="str">
        <f ca="1">IFERROR(VLOOKUP(DB_TBL_DATA_FIELDS[[#This Row],[FIELD_ID]],INDIRECT(DB_TBL_DATA_FIELDS[[#This Row],[SHEET_REF_CALC]]&amp;"!A:B"),2,FALSE),"")</f>
        <v/>
      </c>
      <c r="H32" s="44" t="b">
        <f ca="1">NOT(LEFT(DB_TBL_DATA_FIELDS[[#This Row],[FIELD_VALUE_RAW]],1)="-")</f>
        <v>1</v>
      </c>
      <c r="I32" s="2" t="b">
        <f ca="1">(DB_TBL_DATA_FIELDS[[#This Row],[FIELD_VALUE_RAW]]="")</f>
        <v>1</v>
      </c>
      <c r="J32" s="21" t="s">
        <v>9</v>
      </c>
      <c r="K32" s="7" t="b">
        <f ca="1">AND(IF(DB_TBL_DATA_FIELDS[[#This Row],[FIELD_VALID_CUSTOM_LOGIC]]="",TRUE,DB_TBL_DATA_FIELDS[[#This Row],[FIELD_VALID_CUSTOM_LOGIC]]),DB_TBL_DATA_FIELDS[[#This Row],[RANGE_VALIDATION_PASSED_FLAG]])</f>
        <v>0</v>
      </c>
      <c r="L32"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32" s="326">
        <f ca="1">IF(DB_TBL_DATA_FIELDS[[#This Row],[SHEET_REF_CALC]]="","",IF(DB_TBL_DATA_FIELDS[[#This Row],[FIELD_EMPTY_FLAG]],IF(NOT(DB_TBL_DATA_FIELDS[[#This Row],[FIELD_REQ_FLAG]]),-1,1),IF(NOT(DB_TBL_DATA_FIELDS[[#This Row],[FIELD_VALID_FLAG]]),0,2)))</f>
        <v>1</v>
      </c>
      <c r="N32" s="7" t="str">
        <f ca="1">IFERROR(VLOOKUP(DB_TBL_DATA_FIELDS[[#This Row],[FIELD_STATUS_CODE]],DB_TBL_CONFIG_FIELDSTATUSCODES[#All],3,FALSE),"")</f>
        <v>Required</v>
      </c>
      <c r="O32" s="7" t="str">
        <f ca="1">IFERROR(VLOOKUP(DB_TBL_DATA_FIELDS[[#This Row],[FIELD_STATUS_CODE]],DB_TBL_CONFIG_FIELDSTATUSCODES[#All],4,FALSE),"")</f>
        <v>i</v>
      </c>
      <c r="P32" s="7" t="b">
        <f>TRUE</f>
        <v>1</v>
      </c>
      <c r="Q32" s="7" t="b">
        <f>TRUE</f>
        <v>1</v>
      </c>
      <c r="R32" s="20" t="s">
        <v>9</v>
      </c>
      <c r="S32" s="7">
        <f ca="1">IF(DB_TBL_DATA_FIELDS[[#This Row],[RANGE_VALIDATION_FLAG]]="Text",LEN(DB_TBL_DATA_FIELDS[[#This Row],[FIELD_VALUE_RAW]]),IFERROR(VALUE(DB_TBL_DATA_FIELDS[[#This Row],[FIELD_VALUE_RAW]]),-1))</f>
        <v>0</v>
      </c>
      <c r="T32" s="22">
        <v>5</v>
      </c>
      <c r="U32" s="70">
        <v>10</v>
      </c>
      <c r="V32" s="7" t="b">
        <f ca="1">IF(NOT(DB_TBL_DATA_FIELDS[[#This Row],[RANGE_VALIDATION_ON_FLAG]]),TRUE,
AND(DB_TBL_DATA_FIELDS[[#This Row],[RANGE_VALUE_LEN]]&gt;=DB_TBL_DATA_FIELDS[[#This Row],[RANGE_VALIDATION_MIN]],DB_TBL_DATA_FIELDS[[#This Row],[RANGE_VALUE_LEN]]&lt;=DB_TBL_DATA_FIELDS[[#This Row],[RANGE_VALIDATION_MAX]]))</f>
        <v>0</v>
      </c>
      <c r="W32" s="17">
        <v>1</v>
      </c>
      <c r="X32" s="17">
        <f ca="1">IF(DB_TBL_DATA_FIELDS[[#This Row],[PCT_CALC_SHOW_STATUS_CODE]]=1,
DB_TBL_DATA_FIELDS[[#This Row],[FIELD_STATUS_CODE]],
IF(AND(DB_TBL_DATA_FIELDS[[#This Row],[PCT_CALC_SHOW_STATUS_CODE]]=2,DB_TBL_DATA_FIELDS[[#This Row],[FIELD_STATUS_CODE]]=0),
DB_TBL_DATA_FIELDS[[#This Row],[FIELD_STATUS_CODE]],
"")
)</f>
        <v>1</v>
      </c>
      <c r="Y32" s="17"/>
      <c r="Z32" s="12" t="s">
        <v>2272</v>
      </c>
      <c r="AA32" s="10" t="s">
        <v>2249</v>
      </c>
      <c r="AB32" s="10"/>
      <c r="AC32" s="10"/>
      <c r="AD32" s="10"/>
      <c r="AE32" s="7"/>
    </row>
    <row r="33" spans="1:31" x14ac:dyDescent="0.3">
      <c r="A33" s="10" t="s">
        <v>2790</v>
      </c>
      <c r="B33" s="7" t="str">
        <f>IFERROR(IF(FIND(DATA_EFORM_TYPE_CODE,DB_TBL_DATA_FIELDS[[#This Row],[APPLICABLE_EFORM_LIST]])&gt;0,DATA_EFORM_TYPE_CODE,""),"")</f>
        <v>AHEAD</v>
      </c>
      <c r="C33" s="4" t="s">
        <v>160</v>
      </c>
      <c r="D33" s="4" t="b">
        <v>0</v>
      </c>
      <c r="E33" s="27" t="b">
        <v>1</v>
      </c>
      <c r="F33" s="21" t="s">
        <v>151</v>
      </c>
      <c r="G33" s="10" t="str">
        <f ca="1">IFERROR(VLOOKUP(DB_TBL_DATA_FIELDS[[#This Row],[FIELD_ID]],INDIRECT(DB_TBL_DATA_FIELDS[[#This Row],[SHEET_REF_CALC]]&amp;"!A:B"),2,FALSE),"")</f>
        <v/>
      </c>
      <c r="H33" s="43" t="b">
        <f ca="1">AND(
IFERROR(SEARCH(".",DB_TBL_DATA_FIELDS[[#This Row],[FIELD_VALUE_RAW]],(SEARCH("@",DB_TBL_DATA_FIELDS[[#This Row],[FIELD_VALUE_RAW]],1))+2),0)&gt;0,
NOT(IFERROR(SEARCH(".",RIGHT(DB_TBL_DATA_FIELDS[[#This Row],[FIELD_VALUE_RAW]],2)),0)&gt;0)
)</f>
        <v>0</v>
      </c>
      <c r="I33" s="6" t="b">
        <f ca="1">(DB_TBL_DATA_FIELDS[[#This Row],[FIELD_VALUE_RAW]]="")</f>
        <v>1</v>
      </c>
      <c r="J33" s="21" t="s">
        <v>9</v>
      </c>
      <c r="K33" s="8" t="b">
        <f ca="1">AND(IF(DB_TBL_DATA_FIELDS[[#This Row],[FIELD_VALID_CUSTOM_LOGIC]]="",TRUE,DB_TBL_DATA_FIELDS[[#This Row],[FIELD_VALID_CUSTOM_LOGIC]]),DB_TBL_DATA_FIELDS[[#This Row],[RANGE_VALIDATION_PASSED_FLAG]])</f>
        <v>0</v>
      </c>
      <c r="L33"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33" s="328">
        <f ca="1">IF(DB_TBL_DATA_FIELDS[[#This Row],[SHEET_REF_CALC]]="","",IF(DB_TBL_DATA_FIELDS[[#This Row],[FIELD_EMPTY_FLAG]],IF(NOT(DB_TBL_DATA_FIELDS[[#This Row],[FIELD_REQ_FLAG]]),-1,1),IF(NOT(DB_TBL_DATA_FIELDS[[#This Row],[FIELD_VALID_FLAG]]),0,2)))</f>
        <v>1</v>
      </c>
      <c r="N33" s="8" t="str">
        <f ca="1">IFERROR(VLOOKUP(DB_TBL_DATA_FIELDS[[#This Row],[FIELD_STATUS_CODE]],DB_TBL_CONFIG_FIELDSTATUSCODES[#All],3,FALSE),"")</f>
        <v>Required</v>
      </c>
      <c r="O33" s="8" t="str">
        <f ca="1">IFERROR(VLOOKUP(DB_TBL_DATA_FIELDS[[#This Row],[FIELD_STATUS_CODE]],DB_TBL_CONFIG_FIELDSTATUSCODES[#All],4,FALSE),"")</f>
        <v>i</v>
      </c>
      <c r="P33" s="8" t="b">
        <f>TRUE</f>
        <v>1</v>
      </c>
      <c r="Q33" s="8" t="b">
        <f>TRUE</f>
        <v>1</v>
      </c>
      <c r="R33" s="20" t="s">
        <v>9</v>
      </c>
      <c r="S33" s="8">
        <f ca="1">IF(DB_TBL_DATA_FIELDS[[#This Row],[RANGE_VALIDATION_FLAG]]="Text",LEN(DB_TBL_DATA_FIELDS[[#This Row],[FIELD_VALUE_RAW]]),IFERROR(VALUE(DB_TBL_DATA_FIELDS[[#This Row],[FIELD_VALUE_RAW]]),-1))</f>
        <v>0</v>
      </c>
      <c r="T33" s="22">
        <v>0</v>
      </c>
      <c r="U33" s="70">
        <v>150</v>
      </c>
      <c r="V33" s="8" t="b">
        <f ca="1">IF(NOT(DB_TBL_DATA_FIELDS[[#This Row],[RANGE_VALIDATION_ON_FLAG]]),TRUE,
AND(DB_TBL_DATA_FIELDS[[#This Row],[RANGE_VALUE_LEN]]&gt;=DB_TBL_DATA_FIELDS[[#This Row],[RANGE_VALIDATION_MIN]],DB_TBL_DATA_FIELDS[[#This Row],[RANGE_VALUE_LEN]]&lt;=DB_TBL_DATA_FIELDS[[#This Row],[RANGE_VALIDATION_MAX]]))</f>
        <v>1</v>
      </c>
      <c r="W33" s="17">
        <v>1</v>
      </c>
      <c r="X33" s="17">
        <f ca="1">IF(DB_TBL_DATA_FIELDS[[#This Row],[PCT_CALC_SHOW_STATUS_CODE]]=1,
DB_TBL_DATA_FIELDS[[#This Row],[FIELD_STATUS_CODE]],
IF(AND(DB_TBL_DATA_FIELDS[[#This Row],[PCT_CALC_SHOW_STATUS_CODE]]=2,DB_TBL_DATA_FIELDS[[#This Row],[FIELD_STATUS_CODE]]=0),
DB_TBL_DATA_FIELDS[[#This Row],[FIELD_STATUS_CODE]],
"")
)</f>
        <v>1</v>
      </c>
      <c r="Y33" s="75" t="str">
        <f ca="1">IF(DB_TBL_DATA_FIELDS[[#This Row],[FIELD_STATUS_CODE]]=0,IF(NOT(DB_TBL_DATA_FIELDS[[#This Row],[FIELD_VALID_CUSTOM_LOGIC]]),
IF(IFERROR(SEARCH(".",RIGHT(DB_TBL_DATA_FIELDS[[#This Row],[FIELD_VALUE_RAW]],2)),0)&gt;0,"Invalid Domain Extension",
 IF(IFERROR(SEARCH("@",DB_TBL_DATA_FIELDS[[#This Row],[FIELD_VALUE_RAW]]),0)=0,"Missing '@' In Address",
  IF(IFERROR(SEARCH(".",DB_TBL_DATA_FIELDS[[#This Row],[FIELD_VALUE_RAW]],(SEARCH("@",DB_TBL_DATA_FIELDS[[#This Row],[FIELD_VALUE_RAW]],1))+2),0)=0,"Invalid Domain Name","Invalid Email Address")))),"")</f>
        <v/>
      </c>
      <c r="Z33" s="12" t="s">
        <v>2273</v>
      </c>
      <c r="AA33" s="10" t="s">
        <v>2249</v>
      </c>
      <c r="AB33" s="10"/>
      <c r="AC33" s="10"/>
      <c r="AD33" s="10"/>
      <c r="AE33" s="8"/>
    </row>
    <row r="34" spans="1:31" s="4" customFormat="1" x14ac:dyDescent="0.3">
      <c r="A34" s="10" t="s">
        <v>2790</v>
      </c>
      <c r="B34" s="7" t="str">
        <f>IFERROR(IF(FIND(DATA_EFORM_TYPE_CODE,DB_TBL_DATA_FIELDS[[#This Row],[APPLICABLE_EFORM_LIST]])&gt;0,DATA_EFORM_TYPE_CODE,""),"")</f>
        <v>AHEAD</v>
      </c>
      <c r="C34" s="4" t="s">
        <v>2420</v>
      </c>
      <c r="D34" s="4" t="b">
        <v>0</v>
      </c>
      <c r="E34" s="26" t="b">
        <v>1</v>
      </c>
      <c r="F34" s="6" t="s">
        <v>2421</v>
      </c>
      <c r="G34" s="10" t="str">
        <f ca="1">IFERROR(VLOOKUP(DB_TBL_DATA_FIELDS[[#This Row],[FIELD_ID]],INDIRECT(DB_TBL_DATA_FIELDS[[#This Row],[SHEET_REF_CALC]]&amp;"!A:B"),2,FALSE),"")</f>
        <v/>
      </c>
      <c r="H34" s="10"/>
      <c r="I34" s="6" t="b">
        <f ca="1">(DB_TBL_DATA_FIELDS[[#This Row],[FIELD_VALUE_RAW]]="")</f>
        <v>1</v>
      </c>
      <c r="J34" s="6" t="s">
        <v>2422</v>
      </c>
      <c r="K34" s="8" t="b">
        <f ca="1">AND(IF(DB_TBL_DATA_FIELDS[[#This Row],[FIELD_VALID_CUSTOM_LOGIC]]="",TRUE,DB_TBL_DATA_FIELDS[[#This Row],[FIELD_VALID_CUSTOM_LOGIC]]),DB_TBL_DATA_FIELDS[[#This Row],[RANGE_VALIDATION_PASSED_FLAG]])</f>
        <v>1</v>
      </c>
      <c r="L34"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34" s="328">
        <f ca="1">IF(DB_TBL_DATA_FIELDS[[#This Row],[SHEET_REF_CALC]]="","",IF(DB_TBL_DATA_FIELDS[[#This Row],[FIELD_EMPTY_FLAG]],IF(NOT(DB_TBL_DATA_FIELDS[[#This Row],[FIELD_REQ_FLAG]]),-1,1),IF(NOT(DB_TBL_DATA_FIELDS[[#This Row],[FIELD_VALID_FLAG]]),0,2)))</f>
        <v>1</v>
      </c>
      <c r="N34" s="8" t="str">
        <f ca="1">IFERROR(VLOOKUP(DB_TBL_DATA_FIELDS[[#This Row],[FIELD_STATUS_CODE]],DB_TBL_CONFIG_FIELDSTATUSCODES[#All],3,FALSE),"")</f>
        <v>Required</v>
      </c>
      <c r="O34" s="8" t="str">
        <f ca="1">IFERROR(VLOOKUP(DB_TBL_DATA_FIELDS[[#This Row],[FIELD_STATUS_CODE]],DB_TBL_CONFIG_FIELDSTATUSCODES[#All],4,FALSE),"")</f>
        <v>i</v>
      </c>
      <c r="P34" s="8" t="b">
        <f>TRUE</f>
        <v>1</v>
      </c>
      <c r="Q34" s="8" t="b">
        <f>TRUE</f>
        <v>1</v>
      </c>
      <c r="R34" s="4" t="s">
        <v>9</v>
      </c>
      <c r="S34" s="8">
        <f ca="1">IF(DB_TBL_DATA_FIELDS[[#This Row],[RANGE_VALIDATION_FLAG]]="Text",LEN(DB_TBL_DATA_FIELDS[[#This Row],[FIELD_VALUE_RAW]]),IFERROR(VALUE(DB_TBL_DATA_FIELDS[[#This Row],[FIELD_VALUE_RAW]]),-1))</f>
        <v>0</v>
      </c>
      <c r="T34" s="8">
        <v>0</v>
      </c>
      <c r="U34" s="35">
        <v>500</v>
      </c>
      <c r="V34" s="8" t="b">
        <f ca="1">IF(NOT(DB_TBL_DATA_FIELDS[[#This Row],[RANGE_VALIDATION_ON_FLAG]]),TRUE,
AND(DB_TBL_DATA_FIELDS[[#This Row],[RANGE_VALUE_LEN]]&gt;=DB_TBL_DATA_FIELDS[[#This Row],[RANGE_VALIDATION_MIN]],DB_TBL_DATA_FIELDS[[#This Row],[RANGE_VALUE_LEN]]&lt;=DB_TBL_DATA_FIELDS[[#This Row],[RANGE_VALIDATION_MAX]]))</f>
        <v>1</v>
      </c>
      <c r="W34" s="7">
        <v>1</v>
      </c>
      <c r="X34" s="7">
        <f ca="1">IF(DB_TBL_DATA_FIELDS[[#This Row],[PCT_CALC_SHOW_STATUS_CODE]]=1,
DB_TBL_DATA_FIELDS[[#This Row],[FIELD_STATUS_CODE]],
IF(AND(DB_TBL_DATA_FIELDS[[#This Row],[PCT_CALC_SHOW_STATUS_CODE]]=2,DB_TBL_DATA_FIELDS[[#This Row],[FIELD_STATUS_CODE]]=0),
DB_TBL_DATA_FIELDS[[#This Row],[FIELD_STATUS_CODE]],
"")
)</f>
        <v>1</v>
      </c>
      <c r="Y34" s="17"/>
      <c r="Z34" s="12" t="s">
        <v>2274</v>
      </c>
      <c r="AA34" s="10" t="s">
        <v>2249</v>
      </c>
      <c r="AB34" s="10"/>
      <c r="AC34" s="10"/>
      <c r="AD34" s="10"/>
      <c r="AE34" s="8"/>
    </row>
    <row r="35" spans="1:31" x14ac:dyDescent="0.3">
      <c r="A35" s="12" t="s">
        <v>2790</v>
      </c>
      <c r="B35" s="7" t="str">
        <f>IFERROR(IF(FIND(DATA_EFORM_TYPE_CODE,DB_TBL_DATA_FIELDS[[#This Row],[APPLICABLE_EFORM_LIST]])&gt;0,DATA_EFORM_TYPE_CODE,""),"")</f>
        <v>AHEAD</v>
      </c>
      <c r="C35" s="4" t="s">
        <v>153</v>
      </c>
      <c r="D35" s="4" t="b">
        <v>0</v>
      </c>
      <c r="E35" s="196" t="b">
        <v>1</v>
      </c>
      <c r="F35" s="21" t="s">
        <v>146</v>
      </c>
      <c r="G35" s="12" t="str">
        <f ca="1">IFERROR(VLOOKUP(DB_TBL_DATA_FIELDS[[#This Row],[FIELD_ID]],INDIRECT(DB_TBL_DATA_FIELDS[[#This Row],[SHEET_REF_CALC]]&amp;"!A:B"),2,FALSE),"")</f>
        <v/>
      </c>
      <c r="H35" s="12"/>
      <c r="I35" s="6" t="b">
        <f ca="1">(DB_TBL_DATA_FIELDS[[#This Row],[FIELD_VALUE_RAW]]="")</f>
        <v>1</v>
      </c>
      <c r="J35" s="21" t="s">
        <v>9</v>
      </c>
      <c r="K35" s="8" t="b">
        <f ca="1">AND(IF(DB_TBL_DATA_FIELDS[[#This Row],[FIELD_VALID_CUSTOM_LOGIC]]="",TRUE,DB_TBL_DATA_FIELDS[[#This Row],[FIELD_VALID_CUSTOM_LOGIC]]),DB_TBL_DATA_FIELDS[[#This Row],[RANGE_VALIDATION_PASSED_FLAG]])</f>
        <v>1</v>
      </c>
      <c r="L35"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35" s="328">
        <f ca="1">IF(DB_TBL_DATA_FIELDS[[#This Row],[SHEET_REF_CALC]]="","",IF(DB_TBL_DATA_FIELDS[[#This Row],[FIELD_EMPTY_FLAG]],IF(NOT(DB_TBL_DATA_FIELDS[[#This Row],[FIELD_REQ_FLAG]]),-1,1),IF(NOT(DB_TBL_DATA_FIELDS[[#This Row],[FIELD_VALID_FLAG]]),0,2)))</f>
        <v>1</v>
      </c>
      <c r="N35" s="8" t="str">
        <f ca="1">IFERROR(VLOOKUP(DB_TBL_DATA_FIELDS[[#This Row],[FIELD_STATUS_CODE]],DB_TBL_CONFIG_FIELDSTATUSCODES[#All],3,FALSE),"")</f>
        <v>Required</v>
      </c>
      <c r="O35" s="8" t="str">
        <f ca="1">IFERROR(VLOOKUP(DB_TBL_DATA_FIELDS[[#This Row],[FIELD_STATUS_CODE]],DB_TBL_CONFIG_FIELDSTATUSCODES[#All],4,FALSE),"")</f>
        <v>i</v>
      </c>
      <c r="P35" s="8" t="b">
        <f>TRUE</f>
        <v>1</v>
      </c>
      <c r="Q35" s="8" t="b">
        <f>TRUE</f>
        <v>1</v>
      </c>
      <c r="R35" s="20" t="s">
        <v>9</v>
      </c>
      <c r="S35" s="8">
        <f ca="1">IF(DB_TBL_DATA_FIELDS[[#This Row],[RANGE_VALIDATION_FLAG]]="Text",LEN(DB_TBL_DATA_FIELDS[[#This Row],[FIELD_VALUE_RAW]]),IFERROR(VALUE(DB_TBL_DATA_FIELDS[[#This Row],[FIELD_VALUE_RAW]]),-1))</f>
        <v>0</v>
      </c>
      <c r="T35" s="22">
        <v>0</v>
      </c>
      <c r="U35" s="70">
        <v>150</v>
      </c>
      <c r="V35" s="8" t="b">
        <f ca="1">IF(NOT(DB_TBL_DATA_FIELDS[[#This Row],[RANGE_VALIDATION_ON_FLAG]]),TRUE,
AND(DB_TBL_DATA_FIELDS[[#This Row],[RANGE_VALUE_LEN]]&gt;=DB_TBL_DATA_FIELDS[[#This Row],[RANGE_VALIDATION_MIN]],DB_TBL_DATA_FIELDS[[#This Row],[RANGE_VALUE_LEN]]&lt;=DB_TBL_DATA_FIELDS[[#This Row],[RANGE_VALIDATION_MAX]]))</f>
        <v>1</v>
      </c>
      <c r="W35" s="22">
        <v>1</v>
      </c>
      <c r="X35" s="22">
        <f ca="1">IF(DB_TBL_DATA_FIELDS[[#This Row],[PCT_CALC_SHOW_STATUS_CODE]]=1,
DB_TBL_DATA_FIELDS[[#This Row],[FIELD_STATUS_CODE]],
IF(AND(DB_TBL_DATA_FIELDS[[#This Row],[PCT_CALC_SHOW_STATUS_CODE]]=2,DB_TBL_DATA_FIELDS[[#This Row],[FIELD_STATUS_CODE]]=0),
DB_TBL_DATA_FIELDS[[#This Row],[FIELD_STATUS_CODE]],
"")
)</f>
        <v>1</v>
      </c>
      <c r="Y35" s="22"/>
      <c r="Z35" s="12" t="s">
        <v>2277</v>
      </c>
      <c r="AA35" s="12" t="s">
        <v>2249</v>
      </c>
      <c r="AB35" s="12"/>
      <c r="AC35" s="12"/>
      <c r="AD35" s="12"/>
      <c r="AE35" s="8"/>
    </row>
    <row r="36" spans="1:31" s="4" customFormat="1" x14ac:dyDescent="0.3">
      <c r="A36" s="10" t="s">
        <v>2790</v>
      </c>
      <c r="B36" s="7" t="str">
        <f>IFERROR(IF(FIND(DATA_EFORM_TYPE_CODE,DB_TBL_DATA_FIELDS[[#This Row],[APPLICABLE_EFORM_LIST]])&gt;0,DATA_EFORM_TYPE_CODE,""),"")</f>
        <v>AHEAD</v>
      </c>
      <c r="C36" s="4" t="s">
        <v>2424</v>
      </c>
      <c r="D36" s="4" t="b">
        <v>0</v>
      </c>
      <c r="E36" s="26" t="b">
        <v>1</v>
      </c>
      <c r="F36" s="6" t="s">
        <v>2426</v>
      </c>
      <c r="G36" s="12" t="str">
        <f ca="1">IFERROR(VLOOKUP(DB_TBL_DATA_FIELDS[[#This Row],[FIELD_ID]],INDIRECT(DB_TBL_DATA_FIELDS[[#This Row],[SHEET_REF_CALC]]&amp;"!A:B"),2,FALSE),"")</f>
        <v/>
      </c>
      <c r="H36" s="12"/>
      <c r="I36" s="6" t="b">
        <f ca="1">(DB_TBL_DATA_FIELDS[[#This Row],[FIELD_VALUE_RAW]]="")</f>
        <v>1</v>
      </c>
      <c r="J36" s="6" t="s">
        <v>9</v>
      </c>
      <c r="K36" s="8" t="b">
        <f ca="1">AND(IF(DB_TBL_DATA_FIELDS[[#This Row],[FIELD_VALID_CUSTOM_LOGIC]]="",TRUE,DB_TBL_DATA_FIELDS[[#This Row],[FIELD_VALID_CUSTOM_LOGIC]]),DB_TBL_DATA_FIELDS[[#This Row],[RANGE_VALIDATION_PASSED_FLAG]])</f>
        <v>1</v>
      </c>
      <c r="L36"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36" s="328">
        <f ca="1">IF(DB_TBL_DATA_FIELDS[[#This Row],[SHEET_REF_CALC]]="","",IF(DB_TBL_DATA_FIELDS[[#This Row],[FIELD_EMPTY_FLAG]],IF(NOT(DB_TBL_DATA_FIELDS[[#This Row],[FIELD_REQ_FLAG]]),-1,1),IF(NOT(DB_TBL_DATA_FIELDS[[#This Row],[FIELD_VALID_FLAG]]),0,2)))</f>
        <v>1</v>
      </c>
      <c r="N36" s="8" t="str">
        <f ca="1">IFERROR(VLOOKUP(DB_TBL_DATA_FIELDS[[#This Row],[FIELD_STATUS_CODE]],DB_TBL_CONFIG_FIELDSTATUSCODES[#All],3,FALSE),"")</f>
        <v>Required</v>
      </c>
      <c r="O36" s="8" t="str">
        <f ca="1">IFERROR(VLOOKUP(DB_TBL_DATA_FIELDS[[#This Row],[FIELD_STATUS_CODE]],DB_TBL_CONFIG_FIELDSTATUSCODES[#All],4,FALSE),"")</f>
        <v>i</v>
      </c>
      <c r="P36" s="8" t="b">
        <f>TRUE</f>
        <v>1</v>
      </c>
      <c r="Q36" s="8" t="b">
        <f>TRUE</f>
        <v>1</v>
      </c>
      <c r="R36" s="4" t="s">
        <v>9</v>
      </c>
      <c r="S36" s="8">
        <f ca="1">IF(DB_TBL_DATA_FIELDS[[#This Row],[RANGE_VALIDATION_FLAG]]="Text",LEN(DB_TBL_DATA_FIELDS[[#This Row],[FIELD_VALUE_RAW]]),IFERROR(VALUE(DB_TBL_DATA_FIELDS[[#This Row],[FIELD_VALUE_RAW]]),-1))</f>
        <v>0</v>
      </c>
      <c r="T36" s="8">
        <v>0</v>
      </c>
      <c r="U36" s="35">
        <v>500</v>
      </c>
      <c r="V36" s="8" t="b">
        <f ca="1">IF(NOT(DB_TBL_DATA_FIELDS[[#This Row],[RANGE_VALIDATION_ON_FLAG]]),TRUE,
AND(DB_TBL_DATA_FIELDS[[#This Row],[RANGE_VALUE_LEN]]&gt;=DB_TBL_DATA_FIELDS[[#This Row],[RANGE_VALIDATION_MIN]],DB_TBL_DATA_FIELDS[[#This Row],[RANGE_VALUE_LEN]]&lt;=DB_TBL_DATA_FIELDS[[#This Row],[RANGE_VALIDATION_MAX]]))</f>
        <v>1</v>
      </c>
      <c r="W36" s="8">
        <v>1</v>
      </c>
      <c r="X36" s="8">
        <f ca="1">IF(DB_TBL_DATA_FIELDS[[#This Row],[PCT_CALC_SHOW_STATUS_CODE]]=1,
DB_TBL_DATA_FIELDS[[#This Row],[FIELD_STATUS_CODE]],
IF(AND(DB_TBL_DATA_FIELDS[[#This Row],[PCT_CALC_SHOW_STATUS_CODE]]=2,DB_TBL_DATA_FIELDS[[#This Row],[FIELD_STATUS_CODE]]=0),
DB_TBL_DATA_FIELDS[[#This Row],[FIELD_STATUS_CODE]],
"")
)</f>
        <v>1</v>
      </c>
      <c r="Y36" s="8"/>
      <c r="Z36" s="12" t="s">
        <v>2278</v>
      </c>
      <c r="AA36" s="12" t="s">
        <v>2249</v>
      </c>
      <c r="AB36" s="12"/>
      <c r="AC36" s="12"/>
      <c r="AD36" s="12"/>
      <c r="AE36" s="8"/>
    </row>
    <row r="37" spans="1:31" ht="13.5" thickBot="1" x14ac:dyDescent="0.35">
      <c r="A37" s="62" t="s">
        <v>2790</v>
      </c>
      <c r="B37" s="58" t="str">
        <f>IFERROR(IF(FIND(DATA_EFORM_TYPE_CODE,DB_TBL_DATA_FIELDS[[#This Row],[APPLICABLE_EFORM_LIST]])&gt;0,DATA_EFORM_TYPE_CODE,""),"")</f>
        <v>AHEAD</v>
      </c>
      <c r="C37" s="57" t="s">
        <v>2425</v>
      </c>
      <c r="D37" s="57" t="b">
        <v>0</v>
      </c>
      <c r="E37" s="60" t="b">
        <v>1</v>
      </c>
      <c r="F37" s="61" t="s">
        <v>2427</v>
      </c>
      <c r="G37" s="62" t="str">
        <f ca="1">IFERROR(VLOOKUP(DB_TBL_DATA_FIELDS[[#This Row],[FIELD_ID]],INDIRECT(DB_TBL_DATA_FIELDS[[#This Row],[SHEET_REF_CALC]]&amp;"!A:B"),2,FALSE),"")</f>
        <v/>
      </c>
      <c r="H37" s="62"/>
      <c r="I37" s="61" t="b">
        <f ca="1">(DB_TBL_DATA_FIELDS[[#This Row],[FIELD_VALUE_RAW]]="")</f>
        <v>1</v>
      </c>
      <c r="J37" s="61" t="s">
        <v>9</v>
      </c>
      <c r="K37" s="58" t="b">
        <f ca="1">AND(IF(DB_TBL_DATA_FIELDS[[#This Row],[FIELD_VALID_CUSTOM_LOGIC]]="",TRUE,DB_TBL_DATA_FIELDS[[#This Row],[FIELD_VALID_CUSTOM_LOGIC]]),DB_TBL_DATA_FIELDS[[#This Row],[RANGE_VALIDATION_PASSED_FLAG]])</f>
        <v>1</v>
      </c>
      <c r="L37" s="6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37" s="329">
        <f ca="1">IF(DB_TBL_DATA_FIELDS[[#This Row],[SHEET_REF_CALC]]="","",IF(DB_TBL_DATA_FIELDS[[#This Row],[FIELD_EMPTY_FLAG]],IF(NOT(DB_TBL_DATA_FIELDS[[#This Row],[FIELD_REQ_FLAG]]),-1,1),IF(NOT(DB_TBL_DATA_FIELDS[[#This Row],[FIELD_VALID_FLAG]]),0,2)))</f>
        <v>1</v>
      </c>
      <c r="N37" s="58" t="str">
        <f ca="1">IFERROR(VLOOKUP(DB_TBL_DATA_FIELDS[[#This Row],[FIELD_STATUS_CODE]],DB_TBL_CONFIG_FIELDSTATUSCODES[#All],3,FALSE),"")</f>
        <v>Required</v>
      </c>
      <c r="O37" s="58" t="str">
        <f ca="1">IFERROR(VLOOKUP(DB_TBL_DATA_FIELDS[[#This Row],[FIELD_STATUS_CODE]],DB_TBL_CONFIG_FIELDSTATUSCODES[#All],4,FALSE),"")</f>
        <v>i</v>
      </c>
      <c r="P37" s="58" t="b">
        <f>TRUE</f>
        <v>1</v>
      </c>
      <c r="Q37" s="58" t="b">
        <f>TRUE</f>
        <v>1</v>
      </c>
      <c r="R37" s="57" t="s">
        <v>9</v>
      </c>
      <c r="S37" s="58">
        <f ca="1">IF(DB_TBL_DATA_FIELDS[[#This Row],[RANGE_VALIDATION_FLAG]]="Text",LEN(DB_TBL_DATA_FIELDS[[#This Row],[FIELD_VALUE_RAW]]),IFERROR(VALUE(DB_TBL_DATA_FIELDS[[#This Row],[FIELD_VALUE_RAW]]),-1))</f>
        <v>0</v>
      </c>
      <c r="T37" s="58">
        <v>0</v>
      </c>
      <c r="U37" s="74">
        <f>CONFIG_CHAR_LIMIT_LARGE</f>
        <v>3000</v>
      </c>
      <c r="V37" s="58" t="b">
        <f ca="1">IF(NOT(DB_TBL_DATA_FIELDS[[#This Row],[RANGE_VALIDATION_ON_FLAG]]),TRUE,
AND(DB_TBL_DATA_FIELDS[[#This Row],[RANGE_VALUE_LEN]]&gt;=DB_TBL_DATA_FIELDS[[#This Row],[RANGE_VALIDATION_MIN]],DB_TBL_DATA_FIELDS[[#This Row],[RANGE_VALUE_LEN]]&lt;=DB_TBL_DATA_FIELDS[[#This Row],[RANGE_VALIDATION_MAX]]))</f>
        <v>1</v>
      </c>
      <c r="W37" s="58">
        <v>1</v>
      </c>
      <c r="X37" s="58">
        <f ca="1">IF(DB_TBL_DATA_FIELDS[[#This Row],[PCT_CALC_SHOW_STATUS_CODE]]=1,
DB_TBL_DATA_FIELDS[[#This Row],[FIELD_STATUS_CODE]],
IF(AND(DB_TBL_DATA_FIELDS[[#This Row],[PCT_CALC_SHOW_STATUS_CODE]]=2,DB_TBL_DATA_FIELDS[[#This Row],[FIELD_STATUS_CODE]]=0),
DB_TBL_DATA_FIELDS[[#This Row],[FIELD_STATUS_CODE]],
"")
)</f>
        <v>1</v>
      </c>
      <c r="Y37" s="58"/>
      <c r="Z37" s="62" t="s">
        <v>2279</v>
      </c>
      <c r="AA37" s="62" t="s">
        <v>2249</v>
      </c>
      <c r="AB37" s="62"/>
      <c r="AC37" s="62"/>
      <c r="AD37" s="62"/>
      <c r="AE37" s="58"/>
    </row>
    <row r="38" spans="1:31" x14ac:dyDescent="0.3">
      <c r="A38" s="10" t="s">
        <v>2790</v>
      </c>
      <c r="B38" s="7" t="str">
        <f>IFERROR(IF(FIND(DATA_EFORM_TYPE_CODE,DB_TBL_DATA_FIELDS[[#This Row],[APPLICABLE_EFORM_LIST]])&gt;0,DATA_EFORM_TYPE_CODE,""),"")</f>
        <v>AHEAD</v>
      </c>
      <c r="C38" s="4" t="s">
        <v>2428</v>
      </c>
      <c r="D38" s="4" t="b">
        <v>1</v>
      </c>
      <c r="E38" s="42" t="b">
        <f>IF(IFERROR(VALUE(#REF!),0)&gt;0,FALSE,TRUE)</f>
        <v>1</v>
      </c>
      <c r="F38" s="6" t="s">
        <v>2429</v>
      </c>
      <c r="G38" s="30" t="str">
        <f ca="1">IFERROR(ROUND(VLOOKUP(DB_TBL_DATA_FIELDS[[#This Row],[FIELD_ID]],INDIRECT(DB_TBL_DATA_FIELDS[[#This Row],[SHEET_REF_CALC]]&amp;"!A:B"),2,FALSE),0),"")</f>
        <v/>
      </c>
      <c r="H38" s="30" t="str">
        <f ca="1">IF(DB_TBL_DATA_FIELDS[[#This Row],[FIELD_VALUE_RAW]]="","",
IF(DATA_EFORM_TYPE_CODE=EFORM_TYPE_CODE_AHEAD,
DB_TBL_DATA_FIELDS[[#This Row],[FIELD_VALUE_RAW]]&lt;=CONFIG_SUBSIDY_MAX_TOTAL,
AND(DB_TBL_DATA_FIELDS[[#This Row],[FIELD_VALUE_RAW]]&gt;=CONFIG_SUBSIDY_DR_MIN,  DB_TBL_DATA_FIELDS[[#This Row],[FIELD_VALUE_RAW]] &lt;= CONFIG_SUBSIDY_DR_MAX)))</f>
        <v/>
      </c>
      <c r="I38" s="6" t="b">
        <f ca="1">(DB_TBL_DATA_FIELDS[[#This Row],[FIELD_VALUE_RAW]]="")</f>
        <v>1</v>
      </c>
      <c r="J38" s="6" t="s">
        <v>40</v>
      </c>
      <c r="K38" s="8" t="b">
        <f ca="1">AND(IF(DB_TBL_DATA_FIELDS[[#This Row],[FIELD_VALID_CUSTOM_LOGIC]]="",TRUE,DB_TBL_DATA_FIELDS[[#This Row],[FIELD_VALID_CUSTOM_LOGIC]]),DB_TBL_DATA_FIELDS[[#This Row],[RANGE_VALIDATION_PASSED_FLAG]])</f>
        <v>0</v>
      </c>
      <c r="L38"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38" s="328">
        <f ca="1">IF(DB_TBL_DATA_FIELDS[[#This Row],[SHEET_REF_CALC]]="","",IF(DB_TBL_DATA_FIELDS[[#This Row],[FIELD_EMPTY_FLAG]],IF(NOT(DB_TBL_DATA_FIELDS[[#This Row],[FIELD_REQ_FLAG]]),-1,1),IF(NOT(DB_TBL_DATA_FIELDS[[#This Row],[FIELD_VALID_FLAG]]),0,2)))</f>
        <v>1</v>
      </c>
      <c r="N38" s="8" t="str">
        <f ca="1">IFERROR(VLOOKUP(DB_TBL_DATA_FIELDS[[#This Row],[FIELD_STATUS_CODE]],DB_TBL_CONFIG_FIELDSTATUSCODES[#All],3,FALSE),"")</f>
        <v>Required</v>
      </c>
      <c r="O38" s="8" t="str">
        <f ca="1">IFERROR(VLOOKUP(DB_TBL_DATA_FIELDS[[#This Row],[FIELD_STATUS_CODE]],DB_TBL_CONFIG_FIELDSTATUSCODES[#All],4,FALSE),"")</f>
        <v>i</v>
      </c>
      <c r="P38" s="8" t="b">
        <f>TRUE</f>
        <v>1</v>
      </c>
      <c r="Q38" s="8" t="b">
        <v>1</v>
      </c>
      <c r="R38" s="4" t="s">
        <v>40</v>
      </c>
      <c r="S38" s="8">
        <f ca="1">IF(DB_TBL_DATA_FIELDS[[#This Row],[RANGE_VALIDATION_FLAG]]="Text",LEN(DB_TBL_DATA_FIELDS[[#This Row],[FIELD_VALUE_RAW]]),IFERROR(VALUE(DB_TBL_DATA_FIELDS[[#This Row],[FIELD_VALUE_RAW]]),-1))</f>
        <v>-1</v>
      </c>
      <c r="T38" s="73">
        <f>IF(DATA_EFORM_TYPE_CODE=EFORM_TYPE_CODE_AHEAD,1,CONFIG_SUBSIDY_DR_MIN)</f>
        <v>1</v>
      </c>
      <c r="U38" s="50">
        <f>IF(DATA_EFORM_TYPE_CODE=EFORM_TYPE_CODE_AHEAD,CONFIG_SUBSIDY_MAX_TOTAL,CONFIG_SUBSIDY_DR_MAX)</f>
        <v>200000</v>
      </c>
      <c r="V38" s="8" t="b">
        <f ca="1">IF(NOT(DB_TBL_DATA_FIELDS[[#This Row],[RANGE_VALIDATION_ON_FLAG]]),TRUE,
AND(DB_TBL_DATA_FIELDS[[#This Row],[RANGE_VALUE_LEN]]&gt;=DB_TBL_DATA_FIELDS[[#This Row],[RANGE_VALIDATION_MIN]],DB_TBL_DATA_FIELDS[[#This Row],[RANGE_VALUE_LEN]]&lt;=DB_TBL_DATA_FIELDS[[#This Row],[RANGE_VALIDATION_MAX]]))</f>
        <v>0</v>
      </c>
      <c r="W38" s="17">
        <v>1</v>
      </c>
      <c r="X38" s="17">
        <f ca="1">IF(DB_TBL_DATA_FIELDS[[#This Row],[PCT_CALC_SHOW_STATUS_CODE]]=1,
DB_TBL_DATA_FIELDS[[#This Row],[FIELD_STATUS_CODE]],
IF(AND(DB_TBL_DATA_FIELDS[[#This Row],[PCT_CALC_SHOW_STATUS_CODE]]=2,DB_TBL_DATA_FIELDS[[#This Row],[FIELD_STATUS_CODE]]=0),
DB_TBL_DATA_FIELDS[[#This Row],[FIELD_STATUS_CODE]],
"")
)</f>
        <v>1</v>
      </c>
      <c r="Y38" s="75" t="str">
        <f ca="1">IF(DB_TBL_DATA_FIELDS[[#This Row],[FIELD_STATUS_CODE]]=0,IF(NOT(DB_TBL_DATA_FIELDS[[#This Row],[FIELD_VALID_CUSTOM_LOGIC]]),
"Invalid Grant Amount",""),"")</f>
        <v/>
      </c>
      <c r="Z38" s="12" t="s">
        <v>2280</v>
      </c>
      <c r="AA38" s="12" t="s">
        <v>2430</v>
      </c>
      <c r="AB38" s="12" t="s">
        <v>2428</v>
      </c>
      <c r="AC38" s="12" t="s">
        <v>2655</v>
      </c>
      <c r="AD38" s="12"/>
      <c r="AE38" s="35"/>
    </row>
    <row r="39" spans="1:31" x14ac:dyDescent="0.3">
      <c r="A39" s="10" t="s">
        <v>2790</v>
      </c>
      <c r="B39" s="7" t="str">
        <f>IFERROR(IF(FIND(DATA_EFORM_TYPE_CODE,DB_TBL_DATA_FIELDS[[#This Row],[APPLICABLE_EFORM_LIST]])&gt;0,DATA_EFORM_TYPE_CODE,""),"")</f>
        <v>AHEAD</v>
      </c>
      <c r="C39" s="4" t="s">
        <v>2431</v>
      </c>
      <c r="D39" s="4" t="b">
        <v>0</v>
      </c>
      <c r="E39" s="196" t="b">
        <v>1</v>
      </c>
      <c r="F39" s="6" t="s">
        <v>2434</v>
      </c>
      <c r="G39" s="44" t="str">
        <f ca="1">IFERROR(TEXT(VLOOKUP(DB_TBL_DATA_FIELDS[[#This Row],[FIELD_ID]],INDIRECT(DB_TBL_DATA_FIELDS[[#This Row],[SHEET_REF_CALC]]&amp;"!A:B"),2,FALSE),"MM/DD/YYYY"),"")</f>
        <v/>
      </c>
      <c r="H39" s="30" t="str">
        <f ca="1">IF(DB_TBL_DATA_FIELDS[[#This Row],[FIELD_VALUE_RAW]]="","",VALUE(DB_TBL_DATA_FIELDS[[#This Row],[FIELD_VALUE_RAW]])&gt;=CONFIG_EARLIEST_AWARD_DATE)</f>
        <v/>
      </c>
      <c r="I39" s="6" t="b">
        <f ca="1">(DB_TBL_DATA_FIELDS[[#This Row],[FIELD_VALUE_RAW]]="")</f>
        <v>1</v>
      </c>
      <c r="J39" s="6" t="s">
        <v>32</v>
      </c>
      <c r="K39" s="8" t="b">
        <f ca="1">AND(IF(DB_TBL_DATA_FIELDS[[#This Row],[FIELD_VALID_CUSTOM_LOGIC]]="",TRUE,DB_TBL_DATA_FIELDS[[#This Row],[FIELD_VALID_CUSTOM_LOGIC]]),DB_TBL_DATA_FIELDS[[#This Row],[RANGE_VALIDATION_PASSED_FLAG]])</f>
        <v>1</v>
      </c>
      <c r="L39"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39" s="328">
        <f ca="1">IF(DB_TBL_DATA_FIELDS[[#This Row],[SHEET_REF_CALC]]="","",IF(DB_TBL_DATA_FIELDS[[#This Row],[FIELD_EMPTY_FLAG]],IF(NOT(DB_TBL_DATA_FIELDS[[#This Row],[FIELD_REQ_FLAG]]),-1,1),IF(NOT(DB_TBL_DATA_FIELDS[[#This Row],[FIELD_VALID_FLAG]]),0,2)))</f>
        <v>1</v>
      </c>
      <c r="N39" s="8" t="str">
        <f ca="1">IFERROR(VLOOKUP(DB_TBL_DATA_FIELDS[[#This Row],[FIELD_STATUS_CODE]],DB_TBL_CONFIG_FIELDSTATUSCODES[#All],3,FALSE),"")</f>
        <v>Required</v>
      </c>
      <c r="O39" s="8" t="str">
        <f ca="1">IFERROR(VLOOKUP(DB_TBL_DATA_FIELDS[[#This Row],[FIELD_STATUS_CODE]],DB_TBL_CONFIG_FIELDSTATUSCODES[#All],4,FALSE),"")</f>
        <v>i</v>
      </c>
      <c r="P39" s="8" t="b">
        <f>TRUE</f>
        <v>1</v>
      </c>
      <c r="Q39" s="8" t="b">
        <f>TRUE</f>
        <v>1</v>
      </c>
      <c r="R39" s="4" t="s">
        <v>9</v>
      </c>
      <c r="S39" s="8">
        <f ca="1">IF(DB_TBL_DATA_FIELDS[[#This Row],[RANGE_VALIDATION_FLAG]]="Text",LEN(DB_TBL_DATA_FIELDS[[#This Row],[FIELD_VALUE_RAW]]),IFERROR(VALUE(DB_TBL_DATA_FIELDS[[#This Row],[FIELD_VALUE_RAW]]),-1))</f>
        <v>0</v>
      </c>
      <c r="T39" s="8">
        <v>0</v>
      </c>
      <c r="U39" s="8">
        <v>32767</v>
      </c>
      <c r="V39" s="8" t="b">
        <f ca="1">IF(NOT(DB_TBL_DATA_FIELDS[[#This Row],[RANGE_VALIDATION_ON_FLAG]]),TRUE,
AND(DB_TBL_DATA_FIELDS[[#This Row],[RANGE_VALUE_LEN]]&gt;=DB_TBL_DATA_FIELDS[[#This Row],[RANGE_VALIDATION_MIN]],DB_TBL_DATA_FIELDS[[#This Row],[RANGE_VALUE_LEN]]&lt;=DB_TBL_DATA_FIELDS[[#This Row],[RANGE_VALIDATION_MAX]]))</f>
        <v>1</v>
      </c>
      <c r="W39" s="7">
        <v>1</v>
      </c>
      <c r="X39" s="7">
        <f ca="1">IF(DB_TBL_DATA_FIELDS[[#This Row],[PCT_CALC_SHOW_STATUS_CODE]]=1,
DB_TBL_DATA_FIELDS[[#This Row],[FIELD_STATUS_CODE]],
IF(AND(DB_TBL_DATA_FIELDS[[#This Row],[PCT_CALC_SHOW_STATUS_CODE]]=2,DB_TBL_DATA_FIELDS[[#This Row],[FIELD_STATUS_CODE]]=0),
DB_TBL_DATA_FIELDS[[#This Row],[FIELD_STATUS_CODE]],
"")
)</f>
        <v>1</v>
      </c>
      <c r="Y39" s="198"/>
      <c r="Z39" s="12" t="s">
        <v>2281</v>
      </c>
      <c r="AA39" s="12" t="s">
        <v>2430</v>
      </c>
      <c r="AB39" s="12"/>
      <c r="AC39" s="12"/>
      <c r="AD39" s="12"/>
      <c r="AE39" s="35"/>
    </row>
    <row r="40" spans="1:31" x14ac:dyDescent="0.3">
      <c r="A40" s="10" t="s">
        <v>2790</v>
      </c>
      <c r="B40" s="7" t="str">
        <f>IFERROR(IF(FIND(DATA_EFORM_TYPE_CODE,DB_TBL_DATA_FIELDS[[#This Row],[APPLICABLE_EFORM_LIST]])&gt;0,DATA_EFORM_TYPE_CODE,""),"")</f>
        <v>AHEAD</v>
      </c>
      <c r="C40" s="4" t="s">
        <v>2432</v>
      </c>
      <c r="D40" s="4" t="b">
        <v>0</v>
      </c>
      <c r="E40" s="196" t="b">
        <v>1</v>
      </c>
      <c r="F40" s="6" t="s">
        <v>2435</v>
      </c>
      <c r="G40" s="44" t="str">
        <f ca="1">IFERROR(TEXT(VLOOKUP(DB_TBL_DATA_FIELDS[[#This Row],[FIELD_ID]],INDIRECT(DB_TBL_DATA_FIELDS[[#This Row],[SHEET_REF_CALC]]&amp;"!A:B"),2,FALSE),"MM/DD/YYYY"),"")</f>
        <v/>
      </c>
      <c r="H40" s="30" t="str">
        <f ca="1">IF(DB_TBL_DATA_FIELDS[[#This Row],[FIELD_VALUE_RAW]]="","",AND((VALUE(DB_TBL_DATA_FIELDS[[#This Row],[FIELD_VALUE_RAW]])&lt;=CONFIG_COMPLIANCE_PERIOD_END_DATE),IF(PROJECT_START_DATE="",TRUE,VALUE(PROJECT_END_DATE)&gt;VALUE(PROJECT_START_DATE))))</f>
        <v/>
      </c>
      <c r="I40" s="6" t="b">
        <f ca="1">(DB_TBL_DATA_FIELDS[[#This Row],[FIELD_VALUE_RAW]]="")</f>
        <v>1</v>
      </c>
      <c r="J40" s="6" t="s">
        <v>32</v>
      </c>
      <c r="K40" s="8" t="b">
        <f ca="1">AND(IF(DB_TBL_DATA_FIELDS[[#This Row],[FIELD_VALID_CUSTOM_LOGIC]]="",TRUE,DB_TBL_DATA_FIELDS[[#This Row],[FIELD_VALID_CUSTOM_LOGIC]]),DB_TBL_DATA_FIELDS[[#This Row],[RANGE_VALIDATION_PASSED_FLAG]])</f>
        <v>1</v>
      </c>
      <c r="L40"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40" s="328">
        <f ca="1">IF(DB_TBL_DATA_FIELDS[[#This Row],[SHEET_REF_CALC]]="","",IF(DB_TBL_DATA_FIELDS[[#This Row],[FIELD_EMPTY_FLAG]],IF(NOT(DB_TBL_DATA_FIELDS[[#This Row],[FIELD_REQ_FLAG]]),-1,1),IF(NOT(DB_TBL_DATA_FIELDS[[#This Row],[FIELD_VALID_FLAG]]),0,2)))</f>
        <v>1</v>
      </c>
      <c r="N40" s="8" t="str">
        <f ca="1">IFERROR(VLOOKUP(DB_TBL_DATA_FIELDS[[#This Row],[FIELD_STATUS_CODE]],DB_TBL_CONFIG_FIELDSTATUSCODES[#All],3,FALSE),"")</f>
        <v>Required</v>
      </c>
      <c r="O40" s="8" t="str">
        <f ca="1">IFERROR(VLOOKUP(DB_TBL_DATA_FIELDS[[#This Row],[FIELD_STATUS_CODE]],DB_TBL_CONFIG_FIELDSTATUSCODES[#All],4,FALSE),"")</f>
        <v>i</v>
      </c>
      <c r="P40" s="8" t="b">
        <f>TRUE</f>
        <v>1</v>
      </c>
      <c r="Q40" s="8" t="b">
        <f>TRUE</f>
        <v>1</v>
      </c>
      <c r="R40" s="4" t="s">
        <v>9</v>
      </c>
      <c r="S40" s="8">
        <f ca="1">IF(DB_TBL_DATA_FIELDS[[#This Row],[RANGE_VALIDATION_FLAG]]="Text",LEN(DB_TBL_DATA_FIELDS[[#This Row],[FIELD_VALUE_RAW]]),IFERROR(VALUE(DB_TBL_DATA_FIELDS[[#This Row],[FIELD_VALUE_RAW]]),-1))</f>
        <v>0</v>
      </c>
      <c r="T40" s="8">
        <v>0</v>
      </c>
      <c r="U40" s="8">
        <v>32767</v>
      </c>
      <c r="V40" s="8" t="b">
        <f ca="1">IF(NOT(DB_TBL_DATA_FIELDS[[#This Row],[RANGE_VALIDATION_ON_FLAG]]),TRUE,
AND(DB_TBL_DATA_FIELDS[[#This Row],[RANGE_VALUE_LEN]]&gt;=DB_TBL_DATA_FIELDS[[#This Row],[RANGE_VALIDATION_MIN]],DB_TBL_DATA_FIELDS[[#This Row],[RANGE_VALUE_LEN]]&lt;=DB_TBL_DATA_FIELDS[[#This Row],[RANGE_VALIDATION_MAX]]))</f>
        <v>1</v>
      </c>
      <c r="W40" s="7">
        <v>1</v>
      </c>
      <c r="X40" s="7">
        <f ca="1">IF(DB_TBL_DATA_FIELDS[[#This Row],[PCT_CALC_SHOW_STATUS_CODE]]=1,
DB_TBL_DATA_FIELDS[[#This Row],[FIELD_STATUS_CODE]],
IF(AND(DB_TBL_DATA_FIELDS[[#This Row],[PCT_CALC_SHOW_STATUS_CODE]]=2,DB_TBL_DATA_FIELDS[[#This Row],[FIELD_STATUS_CODE]]=0),
DB_TBL_DATA_FIELDS[[#This Row],[FIELD_STATUS_CODE]],
"")
)</f>
        <v>1</v>
      </c>
      <c r="Y40" s="198"/>
      <c r="Z40" s="12" t="s">
        <v>2282</v>
      </c>
      <c r="AA40" s="12" t="s">
        <v>2430</v>
      </c>
      <c r="AB40" s="12"/>
      <c r="AC40" s="12"/>
      <c r="AD40" s="12"/>
      <c r="AE40" s="35"/>
    </row>
    <row r="41" spans="1:31" x14ac:dyDescent="0.3">
      <c r="A41" s="10" t="s">
        <v>2771</v>
      </c>
      <c r="B41" s="7" t="str">
        <f>IFERROR(IF(FIND(DATA_EFORM_TYPE_CODE,DB_TBL_DATA_FIELDS[[#This Row],[APPLICABLE_EFORM_LIST]])&gt;0,DATA_EFORM_TYPE_CODE,""),"")</f>
        <v>AHEAD</v>
      </c>
      <c r="C41" s="4" t="s">
        <v>2433</v>
      </c>
      <c r="D41" s="4" t="b">
        <v>1</v>
      </c>
      <c r="E41" s="196" t="b">
        <v>1</v>
      </c>
      <c r="F41" s="6" t="s">
        <v>2436</v>
      </c>
      <c r="G41" s="34" t="str">
        <f ca="1">IFERROR(VLOOKUP(DB_TBL_DATA_FIELDS[[#This Row],[FIELD_ID]],INDIRECT(DB_TBL_DATA_FIELDS[[#This Row],[SHEET_REF_CALC]]&amp;"!A:B"),2,FALSE),"")</f>
        <v/>
      </c>
      <c r="H41" s="34"/>
      <c r="I41" s="6" t="b">
        <f ca="1">(DB_TBL_DATA_FIELDS[[#This Row],[FIELD_VALUE_RAW]]="")</f>
        <v>1</v>
      </c>
      <c r="J41" s="6" t="s">
        <v>168</v>
      </c>
      <c r="K41" s="8" t="b">
        <f>AND(IF(DB_TBL_DATA_FIELDS[[#This Row],[FIELD_VALID_CUSTOM_LOGIC]]="",TRUE,DB_TBL_DATA_FIELDS[[#This Row],[FIELD_VALID_CUSTOM_LOGIC]]),DB_TBL_DATA_FIELDS[[#This Row],[RANGE_VALIDATION_PASSED_FLAG]])</f>
        <v>1</v>
      </c>
      <c r="L41"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41" s="328">
        <f ca="1">IF(DB_TBL_DATA_FIELDS[[#This Row],[SHEET_REF_CALC]]="","",IF(DB_TBL_DATA_FIELDS[[#This Row],[FIELD_EMPTY_FLAG]],IF(NOT(DB_TBL_DATA_FIELDS[[#This Row],[FIELD_REQ_FLAG]]),-1,1),IF(NOT(DB_TBL_DATA_FIELDS[[#This Row],[FIELD_VALID_FLAG]]),0,2)))</f>
        <v>1</v>
      </c>
      <c r="N41" s="8" t="str">
        <f ca="1">IFERROR(VLOOKUP(DB_TBL_DATA_FIELDS[[#This Row],[FIELD_STATUS_CODE]],DB_TBL_CONFIG_FIELDSTATUSCODES[#All],3,FALSE),"")</f>
        <v>Required</v>
      </c>
      <c r="O41" s="8" t="str">
        <f ca="1">IFERROR(VLOOKUP(DB_TBL_DATA_FIELDS[[#This Row],[FIELD_STATUS_CODE]],DB_TBL_CONFIG_FIELDSTATUSCODES[#All],4,FALSE),"")</f>
        <v>i</v>
      </c>
      <c r="P41" s="8" t="b">
        <f>TRUE</f>
        <v>1</v>
      </c>
      <c r="Q41" s="8" t="b">
        <v>0</v>
      </c>
      <c r="R41" s="4"/>
      <c r="S41" s="8">
        <f ca="1">IF(DB_TBL_DATA_FIELDS[[#This Row],[RANGE_VALIDATION_FLAG]]="Text",LEN(DB_TBL_DATA_FIELDS[[#This Row],[FIELD_VALUE_RAW]]),IFERROR(VALUE(DB_TBL_DATA_FIELDS[[#This Row],[FIELD_VALUE_RAW]]),-1))</f>
        <v>-1</v>
      </c>
      <c r="T41" s="8"/>
      <c r="U41" s="8"/>
      <c r="V41" s="8" t="b">
        <f>IF(NOT(DB_TBL_DATA_FIELDS[[#This Row],[RANGE_VALIDATION_ON_FLAG]]),TRUE,
AND(DB_TBL_DATA_FIELDS[[#This Row],[RANGE_VALUE_LEN]]&gt;=DB_TBL_DATA_FIELDS[[#This Row],[RANGE_VALIDATION_MIN]],DB_TBL_DATA_FIELDS[[#This Row],[RANGE_VALUE_LEN]]&lt;=DB_TBL_DATA_FIELDS[[#This Row],[RANGE_VALIDATION_MAX]]))</f>
        <v>1</v>
      </c>
      <c r="W41" s="7">
        <v>1</v>
      </c>
      <c r="X41" s="7">
        <f ca="1">IF(DB_TBL_DATA_FIELDS[[#This Row],[PCT_CALC_SHOW_STATUS_CODE]]=1,
DB_TBL_DATA_FIELDS[[#This Row],[FIELD_STATUS_CODE]],
IF(AND(DB_TBL_DATA_FIELDS[[#This Row],[PCT_CALC_SHOW_STATUS_CODE]]=2,DB_TBL_DATA_FIELDS[[#This Row],[FIELD_STATUS_CODE]]=0),
DB_TBL_DATA_FIELDS[[#This Row],[FIELD_STATUS_CODE]],
"")
)</f>
        <v>1</v>
      </c>
      <c r="Y41" s="69"/>
      <c r="Z41" s="12" t="s">
        <v>2283</v>
      </c>
      <c r="AA41" s="12" t="s">
        <v>2430</v>
      </c>
      <c r="AB41" s="12" t="s">
        <v>2433</v>
      </c>
      <c r="AC41" s="12" t="s">
        <v>2656</v>
      </c>
      <c r="AD41" s="12"/>
      <c r="AE41" s="35"/>
    </row>
    <row r="42" spans="1:31" x14ac:dyDescent="0.3">
      <c r="A42" s="10" t="s">
        <v>2771</v>
      </c>
      <c r="B42" s="7" t="str">
        <f>IFERROR(IF(FIND(DATA_EFORM_TYPE_CODE,DB_TBL_DATA_FIELDS[[#This Row],[APPLICABLE_EFORM_LIST]])&gt;0,DATA_EFORM_TYPE_CODE,""),"")</f>
        <v>AHEAD</v>
      </c>
      <c r="C42" s="4" t="s">
        <v>2832</v>
      </c>
      <c r="D42" s="4" t="b">
        <v>0</v>
      </c>
      <c r="E42" s="42" t="b">
        <f ca="1">IF(SPONSOR_AHEAD_GRANT_FLG=TRUE,TRUE,FALSE)</f>
        <v>0</v>
      </c>
      <c r="F42" s="6" t="s">
        <v>2827</v>
      </c>
      <c r="G42" s="34" t="str">
        <f ca="1">IFERROR(VLOOKUP(DB_TBL_DATA_FIELDS[[#This Row],[FIELD_ID]],INDIRECT(DB_TBL_DATA_FIELDS[[#This Row],[SHEET_REF_CALC]]&amp;"!A:B"),2,FALSE),"")</f>
        <v/>
      </c>
      <c r="H42" s="30" t="str">
        <f ca="1">IF(DB_TBL_DATA_FIELDS[[#This Row],[FIELD_EMPTY_FLAG]],"",G41=TRUE)</f>
        <v/>
      </c>
      <c r="I42" s="6" t="b">
        <f ca="1">(DB_TBL_DATA_FIELDS[[#This Row],[FIELD_VALUE_RAW]]="")</f>
        <v>1</v>
      </c>
      <c r="J42" s="6" t="s">
        <v>9</v>
      </c>
      <c r="K42" s="8" t="b">
        <f ca="1">AND(IF(DB_TBL_DATA_FIELDS[[#This Row],[FIELD_VALID_CUSTOM_LOGIC]]="",TRUE,DB_TBL_DATA_FIELDS[[#This Row],[FIELD_VALID_CUSTOM_LOGIC]]),DB_TBL_DATA_FIELDS[[#This Row],[RANGE_VALIDATION_PASSED_FLAG]])</f>
        <v>1</v>
      </c>
      <c r="L42"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42" s="328">
        <f ca="1">IF(DB_TBL_DATA_FIELDS[[#This Row],[SHEET_REF_CALC]]="","",IF(DB_TBL_DATA_FIELDS[[#This Row],[FIELD_EMPTY_FLAG]],IF(NOT(DB_TBL_DATA_FIELDS[[#This Row],[FIELD_REQ_FLAG]]),-1,1),IF(NOT(DB_TBL_DATA_FIELDS[[#This Row],[FIELD_VALID_FLAG]]),0,2)))</f>
        <v>-1</v>
      </c>
      <c r="N42" s="8" t="str">
        <f ca="1">IFERROR(VLOOKUP(DB_TBL_DATA_FIELDS[[#This Row],[FIELD_STATUS_CODE]],DB_TBL_CONFIG_FIELDSTATUSCODES[#All],3,FALSE),"")</f>
        <v>Optional</v>
      </c>
      <c r="O42" s="8" t="str">
        <f ca="1">IFERROR(VLOOKUP(DB_TBL_DATA_FIELDS[[#This Row],[FIELD_STATUS_CODE]],DB_TBL_CONFIG_FIELDSTATUSCODES[#All],4,FALSE),"")</f>
        <v xml:space="preserve"> </v>
      </c>
      <c r="P42" s="8" t="b">
        <f>TRUE</f>
        <v>1</v>
      </c>
      <c r="Q42" s="8" t="b">
        <f>TRUE</f>
        <v>1</v>
      </c>
      <c r="R42" s="4" t="s">
        <v>9</v>
      </c>
      <c r="S42" s="8">
        <f ca="1">IF(DB_TBL_DATA_FIELDS[[#This Row],[RANGE_VALIDATION_FLAG]]="Text",LEN(DB_TBL_DATA_FIELDS[[#This Row],[FIELD_VALUE_RAW]]),IFERROR(VALUE(DB_TBL_DATA_FIELDS[[#This Row],[FIELD_VALUE_RAW]]),-1))</f>
        <v>0</v>
      </c>
      <c r="T42" s="8">
        <v>0</v>
      </c>
      <c r="U42" s="8">
        <v>7</v>
      </c>
      <c r="V42" s="8" t="b">
        <f ca="1">IF(NOT(DB_TBL_DATA_FIELDS[[#This Row],[RANGE_VALIDATION_ON_FLAG]]),TRUE,
AND(DB_TBL_DATA_FIELDS[[#This Row],[RANGE_VALUE_LEN]]&gt;=DB_TBL_DATA_FIELDS[[#This Row],[RANGE_VALIDATION_MIN]],DB_TBL_DATA_FIELDS[[#This Row],[RANGE_VALUE_LEN]]&lt;=DB_TBL_DATA_FIELDS[[#This Row],[RANGE_VALIDATION_MAX]]))</f>
        <v>1</v>
      </c>
      <c r="W42" s="7">
        <v>1</v>
      </c>
      <c r="X42" s="7">
        <f ca="1">IF(DB_TBL_DATA_FIELDS[[#This Row],[PCT_CALC_SHOW_STATUS_CODE]]=1,
DB_TBL_DATA_FIELDS[[#This Row],[FIELD_STATUS_CODE]],
IF(AND(DB_TBL_DATA_FIELDS[[#This Row],[PCT_CALC_SHOW_STATUS_CODE]]=2,DB_TBL_DATA_FIELDS[[#This Row],[FIELD_STATUS_CODE]]=0),
DB_TBL_DATA_FIELDS[[#This Row],[FIELD_STATUS_CODE]],
"")
)</f>
        <v>-1</v>
      </c>
      <c r="Y42" s="69"/>
      <c r="Z42" s="12" t="s">
        <v>2439</v>
      </c>
      <c r="AA42" s="12" t="s">
        <v>2430</v>
      </c>
      <c r="AB42" s="12"/>
      <c r="AC42" s="12"/>
      <c r="AD42" s="12"/>
      <c r="AE42" s="35"/>
    </row>
    <row r="43" spans="1:31" x14ac:dyDescent="0.3">
      <c r="A43" s="10" t="s">
        <v>2771</v>
      </c>
      <c r="B43" s="7" t="str">
        <f>IFERROR(IF(FIND(DATA_EFORM_TYPE_CODE,DB_TBL_DATA_FIELDS[[#This Row],[APPLICABLE_EFORM_LIST]])&gt;0,DATA_EFORM_TYPE_CODE,""),"")</f>
        <v>AHEAD</v>
      </c>
      <c r="C43" s="4" t="s">
        <v>2437</v>
      </c>
      <c r="D43" s="4" t="b">
        <v>0</v>
      </c>
      <c r="E43" s="197" t="b">
        <f ca="1">AND(NOT($I$42),$H$42)</f>
        <v>0</v>
      </c>
      <c r="F43" s="6" t="s">
        <v>2449</v>
      </c>
      <c r="G43" s="34" t="str">
        <f ca="1">IFERROR(VLOOKUP(DB_TBL_DATA_FIELDS[[#This Row],[FIELD_ID]],INDIRECT(DB_TBL_DATA_FIELDS[[#This Row],[SHEET_REF_CALC]]&amp;"!A:B"),2,FALSE),"")</f>
        <v/>
      </c>
      <c r="H43" s="30" t="str">
        <f ca="1">IF(DB_TBL_DATA_FIELDS[[#This Row],[FIELD_EMPTY_FLAG]],"",AND(NOT($I$42),$H$42))</f>
        <v/>
      </c>
      <c r="I43" s="6" t="b">
        <f ca="1">(DB_TBL_DATA_FIELDS[[#This Row],[FIELD_VALUE_RAW]]="")</f>
        <v>1</v>
      </c>
      <c r="J43" s="6" t="s">
        <v>9</v>
      </c>
      <c r="K43" s="8" t="b">
        <f ca="1">AND(IF(DB_TBL_DATA_FIELDS[[#This Row],[FIELD_VALID_CUSTOM_LOGIC]]="",TRUE,DB_TBL_DATA_FIELDS[[#This Row],[FIELD_VALID_CUSTOM_LOGIC]]),DB_TBL_DATA_FIELDS[[#This Row],[RANGE_VALIDATION_PASSED_FLAG]])</f>
        <v>1</v>
      </c>
      <c r="L43"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43" s="328">
        <f ca="1">IF(DB_TBL_DATA_FIELDS[[#This Row],[SHEET_REF_CALC]]="","",IF(DB_TBL_DATA_FIELDS[[#This Row],[FIELD_EMPTY_FLAG]],IF(NOT(DB_TBL_DATA_FIELDS[[#This Row],[FIELD_REQ_FLAG]]),-1,1),IF(NOT(DB_TBL_DATA_FIELDS[[#This Row],[FIELD_VALID_FLAG]]),0,2)))</f>
        <v>-1</v>
      </c>
      <c r="N43" s="8" t="str">
        <f ca="1">IFERROR(VLOOKUP(DB_TBL_DATA_FIELDS[[#This Row],[FIELD_STATUS_CODE]],DB_TBL_CONFIG_FIELDSTATUSCODES[#All],3,FALSE),"")</f>
        <v>Optional</v>
      </c>
      <c r="O43" s="8" t="str">
        <f ca="1">IFERROR(VLOOKUP(DB_TBL_DATA_FIELDS[[#This Row],[FIELD_STATUS_CODE]],DB_TBL_CONFIG_FIELDSTATUSCODES[#All],4,FALSE),"")</f>
        <v xml:space="preserve"> </v>
      </c>
      <c r="P43" s="8" t="b">
        <f>TRUE</f>
        <v>1</v>
      </c>
      <c r="Q43" s="8" t="b">
        <f>TRUE</f>
        <v>1</v>
      </c>
      <c r="R43" s="4" t="s">
        <v>9</v>
      </c>
      <c r="S43" s="8">
        <f ca="1">IF(DB_TBL_DATA_FIELDS[[#This Row],[RANGE_VALIDATION_FLAG]]="Text",LEN(DB_TBL_DATA_FIELDS[[#This Row],[FIELD_VALUE_RAW]]),IFERROR(VALUE(DB_TBL_DATA_FIELDS[[#This Row],[FIELD_VALUE_RAW]]),-1))</f>
        <v>0</v>
      </c>
      <c r="T43" s="8">
        <v>0</v>
      </c>
      <c r="U43" s="8">
        <v>250</v>
      </c>
      <c r="V43" s="8" t="b">
        <f ca="1">IF(NOT(DB_TBL_DATA_FIELDS[[#This Row],[RANGE_VALIDATION_ON_FLAG]]),TRUE,
AND(DB_TBL_DATA_FIELDS[[#This Row],[RANGE_VALUE_LEN]]&gt;=DB_TBL_DATA_FIELDS[[#This Row],[RANGE_VALIDATION_MIN]],DB_TBL_DATA_FIELDS[[#This Row],[RANGE_VALUE_LEN]]&lt;=DB_TBL_DATA_FIELDS[[#This Row],[RANGE_VALIDATION_MAX]]))</f>
        <v>1</v>
      </c>
      <c r="W43" s="7">
        <v>1</v>
      </c>
      <c r="X43" s="7">
        <f ca="1">IF(DB_TBL_DATA_FIELDS[[#This Row],[PCT_CALC_SHOW_STATUS_CODE]]=1,
DB_TBL_DATA_FIELDS[[#This Row],[FIELD_STATUS_CODE]],
IF(AND(DB_TBL_DATA_FIELDS[[#This Row],[PCT_CALC_SHOW_STATUS_CODE]]=2,DB_TBL_DATA_FIELDS[[#This Row],[FIELD_STATUS_CODE]]=0),
DB_TBL_DATA_FIELDS[[#This Row],[FIELD_STATUS_CODE]],
"")
)</f>
        <v>-1</v>
      </c>
      <c r="Y43" s="69"/>
      <c r="Z43" s="12" t="s">
        <v>2439</v>
      </c>
      <c r="AA43" s="12" t="s">
        <v>2430</v>
      </c>
      <c r="AB43" s="12"/>
      <c r="AC43" s="12"/>
      <c r="AD43" s="12"/>
      <c r="AE43" s="35"/>
    </row>
    <row r="44" spans="1:31" x14ac:dyDescent="0.3">
      <c r="A44" s="10" t="s">
        <v>2771</v>
      </c>
      <c r="B44" s="7" t="str">
        <f>IFERROR(IF(FIND(DATA_EFORM_TYPE_CODE,DB_TBL_DATA_FIELDS[[#This Row],[APPLICABLE_EFORM_LIST]])&gt;0,DATA_EFORM_TYPE_CODE,""),"")</f>
        <v>AHEAD</v>
      </c>
      <c r="C44" s="4" t="s">
        <v>2438</v>
      </c>
      <c r="D44" s="4" t="b">
        <v>0</v>
      </c>
      <c r="E44" s="197" t="b">
        <f ca="1">AND(NOT($I$42),$H$42)</f>
        <v>0</v>
      </c>
      <c r="F44" s="6" t="s">
        <v>2455</v>
      </c>
      <c r="G44" s="34" t="str">
        <f ca="1">IFERROR(VLOOKUP(DB_TBL_DATA_FIELDS[[#This Row],[FIELD_ID]],INDIRECT(DB_TBL_DATA_FIELDS[[#This Row],[SHEET_REF_CALC]]&amp;"!A:B"),2,FALSE),"")</f>
        <v/>
      </c>
      <c r="H44" s="30" t="str">
        <f ca="1">IF(DB_TBL_DATA_FIELDS[[#This Row],[FIELD_EMPTY_FLAG]],"",AND(NOT($I$42),$H$42))</f>
        <v/>
      </c>
      <c r="I44" s="6" t="b">
        <f ca="1">(DB_TBL_DATA_FIELDS[[#This Row],[FIELD_VALUE_RAW]]="")</f>
        <v>1</v>
      </c>
      <c r="J44" s="6" t="s">
        <v>40</v>
      </c>
      <c r="K44" s="8" t="b">
        <f ca="1">AND(IF(DB_TBL_DATA_FIELDS[[#This Row],[FIELD_VALID_CUSTOM_LOGIC]]="",TRUE,DB_TBL_DATA_FIELDS[[#This Row],[FIELD_VALID_CUSTOM_LOGIC]]),DB_TBL_DATA_FIELDS[[#This Row],[RANGE_VALIDATION_PASSED_FLAG]])</f>
        <v>0</v>
      </c>
      <c r="L44"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44" s="328">
        <f ca="1">IF(DB_TBL_DATA_FIELDS[[#This Row],[SHEET_REF_CALC]]="","",IF(DB_TBL_DATA_FIELDS[[#This Row],[FIELD_EMPTY_FLAG]],IF(NOT(DB_TBL_DATA_FIELDS[[#This Row],[FIELD_REQ_FLAG]]),-1,1),IF(NOT(DB_TBL_DATA_FIELDS[[#This Row],[FIELD_VALID_FLAG]]),0,2)))</f>
        <v>-1</v>
      </c>
      <c r="N44" s="8" t="str">
        <f ca="1">IFERROR(VLOOKUP(DB_TBL_DATA_FIELDS[[#This Row],[FIELD_STATUS_CODE]],DB_TBL_CONFIG_FIELDSTATUSCODES[#All],3,FALSE),"")</f>
        <v>Optional</v>
      </c>
      <c r="O44" s="8" t="str">
        <f ca="1">IFERROR(VLOOKUP(DB_TBL_DATA_FIELDS[[#This Row],[FIELD_STATUS_CODE]],DB_TBL_CONFIG_FIELDSTATUSCODES[#All],4,FALSE),"")</f>
        <v xml:space="preserve"> </v>
      </c>
      <c r="P44" s="8" t="b">
        <f>TRUE</f>
        <v>1</v>
      </c>
      <c r="Q44" s="8" t="b">
        <f>TRUE</f>
        <v>1</v>
      </c>
      <c r="R44" s="4" t="s">
        <v>40</v>
      </c>
      <c r="S44" s="8">
        <f ca="1">IF(DB_TBL_DATA_FIELDS[[#This Row],[RANGE_VALIDATION_FLAG]]="Text",LEN(DB_TBL_DATA_FIELDS[[#This Row],[FIELD_VALUE_RAW]]),IFERROR(VALUE(DB_TBL_DATA_FIELDS[[#This Row],[FIELD_VALUE_RAW]]),-1))</f>
        <v>-1</v>
      </c>
      <c r="T44" s="8">
        <v>0</v>
      </c>
      <c r="U44" s="8">
        <v>999999999</v>
      </c>
      <c r="V44" s="8" t="b">
        <f ca="1">IF(NOT(DB_TBL_DATA_FIELDS[[#This Row],[RANGE_VALIDATION_ON_FLAG]]),TRUE,
AND(DB_TBL_DATA_FIELDS[[#This Row],[RANGE_VALUE_LEN]]&gt;=DB_TBL_DATA_FIELDS[[#This Row],[RANGE_VALIDATION_MIN]],DB_TBL_DATA_FIELDS[[#This Row],[RANGE_VALUE_LEN]]&lt;=DB_TBL_DATA_FIELDS[[#This Row],[RANGE_VALIDATION_MAX]]))</f>
        <v>0</v>
      </c>
      <c r="W44" s="7">
        <v>1</v>
      </c>
      <c r="X44" s="7">
        <f ca="1">IF(DB_TBL_DATA_FIELDS[[#This Row],[PCT_CALC_SHOW_STATUS_CODE]]=1,
DB_TBL_DATA_FIELDS[[#This Row],[FIELD_STATUS_CODE]],
IF(AND(DB_TBL_DATA_FIELDS[[#This Row],[PCT_CALC_SHOW_STATUS_CODE]]=2,DB_TBL_DATA_FIELDS[[#This Row],[FIELD_STATUS_CODE]]=0),
DB_TBL_DATA_FIELDS[[#This Row],[FIELD_STATUS_CODE]],
"")
)</f>
        <v>-1</v>
      </c>
      <c r="Y44" s="69"/>
      <c r="Z44" s="12" t="s">
        <v>2439</v>
      </c>
      <c r="AA44" s="12" t="s">
        <v>2430</v>
      </c>
      <c r="AB44" s="12"/>
      <c r="AC44" s="12"/>
      <c r="AD44" s="12"/>
      <c r="AE44" s="35"/>
    </row>
    <row r="45" spans="1:31" x14ac:dyDescent="0.3">
      <c r="A45" s="10" t="s">
        <v>2771</v>
      </c>
      <c r="B45" s="7" t="str">
        <f>IFERROR(IF(FIND(DATA_EFORM_TYPE_CODE,DB_TBL_DATA_FIELDS[[#This Row],[APPLICABLE_EFORM_LIST]])&gt;0,DATA_EFORM_TYPE_CODE,""),"")</f>
        <v>AHEAD</v>
      </c>
      <c r="C45" s="4" t="s">
        <v>2833</v>
      </c>
      <c r="D45" s="4" t="b">
        <v>0</v>
      </c>
      <c r="E45" s="196" t="b">
        <v>0</v>
      </c>
      <c r="F45" s="6" t="s">
        <v>2828</v>
      </c>
      <c r="G45" s="34" t="str">
        <f ca="1">IFERROR(VLOOKUP(DB_TBL_DATA_FIELDS[[#This Row],[FIELD_ID]],INDIRECT(DB_TBL_DATA_FIELDS[[#This Row],[SHEET_REF_CALC]]&amp;"!A:B"),2,FALSE),"")</f>
        <v/>
      </c>
      <c r="H45" s="30" t="str">
        <f ca="1">IF(DB_TBL_DATA_FIELDS[[#This Row],[FIELD_EMPTY_FLAG]],"",AND(NOT($I$42),$H$42))</f>
        <v/>
      </c>
      <c r="I45" s="6" t="b">
        <f ca="1">(DB_TBL_DATA_FIELDS[[#This Row],[FIELD_VALUE_RAW]]="")</f>
        <v>1</v>
      </c>
      <c r="J45" s="6" t="s">
        <v>9</v>
      </c>
      <c r="K45" s="8" t="b">
        <f ca="1">AND(IF(DB_TBL_DATA_FIELDS[[#This Row],[FIELD_VALID_CUSTOM_LOGIC]]="",TRUE,DB_TBL_DATA_FIELDS[[#This Row],[FIELD_VALID_CUSTOM_LOGIC]]),DB_TBL_DATA_FIELDS[[#This Row],[RANGE_VALIDATION_PASSED_FLAG]])</f>
        <v>1</v>
      </c>
      <c r="L45"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45" s="328">
        <f ca="1">IF(DB_TBL_DATA_FIELDS[[#This Row],[SHEET_REF_CALC]]="","",IF(DB_TBL_DATA_FIELDS[[#This Row],[FIELD_EMPTY_FLAG]],IF(NOT(DB_TBL_DATA_FIELDS[[#This Row],[FIELD_REQ_FLAG]]),-1,1),IF(NOT(DB_TBL_DATA_FIELDS[[#This Row],[FIELD_VALID_FLAG]]),0,2)))</f>
        <v>-1</v>
      </c>
      <c r="N45" s="8" t="str">
        <f ca="1">IFERROR(VLOOKUP(DB_TBL_DATA_FIELDS[[#This Row],[FIELD_STATUS_CODE]],DB_TBL_CONFIG_FIELDSTATUSCODES[#All],3,FALSE),"")</f>
        <v>Optional</v>
      </c>
      <c r="O45" s="8" t="str">
        <f ca="1">IFERROR(VLOOKUP(DB_TBL_DATA_FIELDS[[#This Row],[FIELD_STATUS_CODE]],DB_TBL_CONFIG_FIELDSTATUSCODES[#All],4,FALSE),"")</f>
        <v xml:space="preserve"> </v>
      </c>
      <c r="P45" s="8" t="b">
        <f>TRUE</f>
        <v>1</v>
      </c>
      <c r="Q45" s="8" t="b">
        <f>TRUE</f>
        <v>1</v>
      </c>
      <c r="R45" s="4" t="s">
        <v>9</v>
      </c>
      <c r="S45" s="8">
        <f ca="1">IF(DB_TBL_DATA_FIELDS[[#This Row],[RANGE_VALIDATION_FLAG]]="Text",LEN(DB_TBL_DATA_FIELDS[[#This Row],[FIELD_VALUE_RAW]]),IFERROR(VALUE(DB_TBL_DATA_FIELDS[[#This Row],[FIELD_VALUE_RAW]]),-1))</f>
        <v>0</v>
      </c>
      <c r="T45" s="8">
        <v>0</v>
      </c>
      <c r="U45" s="8">
        <v>7</v>
      </c>
      <c r="V45" s="8" t="b">
        <f ca="1">IF(NOT(DB_TBL_DATA_FIELDS[[#This Row],[RANGE_VALIDATION_ON_FLAG]]),TRUE,
AND(DB_TBL_DATA_FIELDS[[#This Row],[RANGE_VALUE_LEN]]&gt;=DB_TBL_DATA_FIELDS[[#This Row],[RANGE_VALIDATION_MIN]],DB_TBL_DATA_FIELDS[[#This Row],[RANGE_VALUE_LEN]]&lt;=DB_TBL_DATA_FIELDS[[#This Row],[RANGE_VALIDATION_MAX]]))</f>
        <v>1</v>
      </c>
      <c r="W45" s="7">
        <v>1</v>
      </c>
      <c r="X45" s="7">
        <f ca="1">IF(DB_TBL_DATA_FIELDS[[#This Row],[PCT_CALC_SHOW_STATUS_CODE]]=1,
DB_TBL_DATA_FIELDS[[#This Row],[FIELD_STATUS_CODE]],
IF(AND(DB_TBL_DATA_FIELDS[[#This Row],[PCT_CALC_SHOW_STATUS_CODE]]=2,DB_TBL_DATA_FIELDS[[#This Row],[FIELD_STATUS_CODE]]=0),
DB_TBL_DATA_FIELDS[[#This Row],[FIELD_STATUS_CODE]],
"")
)</f>
        <v>-1</v>
      </c>
      <c r="Y45" s="69"/>
      <c r="Z45" s="12" t="s">
        <v>2439</v>
      </c>
      <c r="AA45" s="12" t="s">
        <v>2430</v>
      </c>
      <c r="AB45" s="12"/>
      <c r="AC45" s="12"/>
      <c r="AD45" s="12"/>
      <c r="AE45" s="35"/>
    </row>
    <row r="46" spans="1:31" x14ac:dyDescent="0.3">
      <c r="A46" s="10" t="s">
        <v>2771</v>
      </c>
      <c r="B46" s="7" t="str">
        <f>IFERROR(IF(FIND(DATA_EFORM_TYPE_CODE,DB_TBL_DATA_FIELDS[[#This Row],[APPLICABLE_EFORM_LIST]])&gt;0,DATA_EFORM_TYPE_CODE,""),"")</f>
        <v>AHEAD</v>
      </c>
      <c r="C46" s="4" t="s">
        <v>2440</v>
      </c>
      <c r="D46" s="4" t="b">
        <v>0</v>
      </c>
      <c r="E46" s="197" t="b">
        <f ca="1">AND(NOT($I$45),$H$45)</f>
        <v>0</v>
      </c>
      <c r="F46" s="6" t="s">
        <v>2450</v>
      </c>
      <c r="G46" s="34" t="str">
        <f ca="1">IFERROR(VLOOKUP(DB_TBL_DATA_FIELDS[[#This Row],[FIELD_ID]],INDIRECT(DB_TBL_DATA_FIELDS[[#This Row],[SHEET_REF_CALC]]&amp;"!A:B"),2,FALSE),"")</f>
        <v/>
      </c>
      <c r="H46" s="30" t="str">
        <f ca="1">IF(DB_TBL_DATA_FIELDS[[#This Row],[FIELD_EMPTY_FLAG]],"",AND(NOT($I$45),$H$45))</f>
        <v/>
      </c>
      <c r="I46" s="6" t="b">
        <f ca="1">(DB_TBL_DATA_FIELDS[[#This Row],[FIELD_VALUE_RAW]]="")</f>
        <v>1</v>
      </c>
      <c r="J46" s="6" t="s">
        <v>9</v>
      </c>
      <c r="K46" s="8" t="b">
        <f ca="1">AND(IF(DB_TBL_DATA_FIELDS[[#This Row],[FIELD_VALID_CUSTOM_LOGIC]]="",TRUE,DB_TBL_DATA_FIELDS[[#This Row],[FIELD_VALID_CUSTOM_LOGIC]]),DB_TBL_DATA_FIELDS[[#This Row],[RANGE_VALIDATION_PASSED_FLAG]])</f>
        <v>1</v>
      </c>
      <c r="L46"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46" s="328">
        <f ca="1">IF(DB_TBL_DATA_FIELDS[[#This Row],[SHEET_REF_CALC]]="","",IF(DB_TBL_DATA_FIELDS[[#This Row],[FIELD_EMPTY_FLAG]],IF(NOT(DB_TBL_DATA_FIELDS[[#This Row],[FIELD_REQ_FLAG]]),-1,1),IF(NOT(DB_TBL_DATA_FIELDS[[#This Row],[FIELD_VALID_FLAG]]),0,2)))</f>
        <v>-1</v>
      </c>
      <c r="N46" s="8" t="str">
        <f ca="1">IFERROR(VLOOKUP(DB_TBL_DATA_FIELDS[[#This Row],[FIELD_STATUS_CODE]],DB_TBL_CONFIG_FIELDSTATUSCODES[#All],3,FALSE),"")</f>
        <v>Optional</v>
      </c>
      <c r="O46" s="8" t="str">
        <f ca="1">IFERROR(VLOOKUP(DB_TBL_DATA_FIELDS[[#This Row],[FIELD_STATUS_CODE]],DB_TBL_CONFIG_FIELDSTATUSCODES[#All],4,FALSE),"")</f>
        <v xml:space="preserve"> </v>
      </c>
      <c r="P46" s="8" t="b">
        <f>TRUE</f>
        <v>1</v>
      </c>
      <c r="Q46" s="8" t="b">
        <f>TRUE</f>
        <v>1</v>
      </c>
      <c r="R46" s="4" t="s">
        <v>9</v>
      </c>
      <c r="S46" s="8">
        <f ca="1">IF(DB_TBL_DATA_FIELDS[[#This Row],[RANGE_VALIDATION_FLAG]]="Text",LEN(DB_TBL_DATA_FIELDS[[#This Row],[FIELD_VALUE_RAW]]),IFERROR(VALUE(DB_TBL_DATA_FIELDS[[#This Row],[FIELD_VALUE_RAW]]),-1))</f>
        <v>0</v>
      </c>
      <c r="T46" s="8">
        <v>0</v>
      </c>
      <c r="U46" s="8">
        <v>250</v>
      </c>
      <c r="V46" s="8" t="b">
        <f ca="1">IF(NOT(DB_TBL_DATA_FIELDS[[#This Row],[RANGE_VALIDATION_ON_FLAG]]),TRUE,
AND(DB_TBL_DATA_FIELDS[[#This Row],[RANGE_VALUE_LEN]]&gt;=DB_TBL_DATA_FIELDS[[#This Row],[RANGE_VALIDATION_MIN]],DB_TBL_DATA_FIELDS[[#This Row],[RANGE_VALUE_LEN]]&lt;=DB_TBL_DATA_FIELDS[[#This Row],[RANGE_VALIDATION_MAX]]))</f>
        <v>1</v>
      </c>
      <c r="W46" s="7">
        <v>1</v>
      </c>
      <c r="X46" s="7">
        <f ca="1">IF(DB_TBL_DATA_FIELDS[[#This Row],[PCT_CALC_SHOW_STATUS_CODE]]=1,
DB_TBL_DATA_FIELDS[[#This Row],[FIELD_STATUS_CODE]],
IF(AND(DB_TBL_DATA_FIELDS[[#This Row],[PCT_CALC_SHOW_STATUS_CODE]]=2,DB_TBL_DATA_FIELDS[[#This Row],[FIELD_STATUS_CODE]]=0),
DB_TBL_DATA_FIELDS[[#This Row],[FIELD_STATUS_CODE]],
"")
)</f>
        <v>-1</v>
      </c>
      <c r="Y46" s="69"/>
      <c r="Z46" s="12" t="s">
        <v>2439</v>
      </c>
      <c r="AA46" s="12" t="s">
        <v>2430</v>
      </c>
      <c r="AB46" s="12"/>
      <c r="AC46" s="12"/>
      <c r="AD46" s="12"/>
      <c r="AE46" s="35"/>
    </row>
    <row r="47" spans="1:31" x14ac:dyDescent="0.3">
      <c r="A47" s="10" t="s">
        <v>2771</v>
      </c>
      <c r="B47" s="7" t="str">
        <f>IFERROR(IF(FIND(DATA_EFORM_TYPE_CODE,DB_TBL_DATA_FIELDS[[#This Row],[APPLICABLE_EFORM_LIST]])&gt;0,DATA_EFORM_TYPE_CODE,""),"")</f>
        <v>AHEAD</v>
      </c>
      <c r="C47" s="4" t="s">
        <v>2441</v>
      </c>
      <c r="D47" s="4" t="b">
        <v>0</v>
      </c>
      <c r="E47" s="197" t="b">
        <f ca="1">AND(NOT($I$45),$H$45)</f>
        <v>0</v>
      </c>
      <c r="F47" s="6" t="s">
        <v>2456</v>
      </c>
      <c r="G47" s="34" t="str">
        <f ca="1">IFERROR(VLOOKUP(DB_TBL_DATA_FIELDS[[#This Row],[FIELD_ID]],INDIRECT(DB_TBL_DATA_FIELDS[[#This Row],[SHEET_REF_CALC]]&amp;"!A:B"),2,FALSE),"")</f>
        <v/>
      </c>
      <c r="H47" s="30" t="str">
        <f ca="1">IF(DB_TBL_DATA_FIELDS[[#This Row],[FIELD_EMPTY_FLAG]],"",AND(NOT($I$45),$H$45,DB_TBL_DATA_FIELDS[[#This Row],[FIELD_VALUE_RAW]]&gt;0))</f>
        <v/>
      </c>
      <c r="I47" s="6" t="b">
        <f ca="1">(DB_TBL_DATA_FIELDS[[#This Row],[FIELD_VALUE_RAW]]="")</f>
        <v>1</v>
      </c>
      <c r="J47" s="6" t="s">
        <v>40</v>
      </c>
      <c r="K47" s="8" t="b">
        <f ca="1">AND(IF(DB_TBL_DATA_FIELDS[[#This Row],[FIELD_VALID_CUSTOM_LOGIC]]="",TRUE,DB_TBL_DATA_FIELDS[[#This Row],[FIELD_VALID_CUSTOM_LOGIC]]),DB_TBL_DATA_FIELDS[[#This Row],[RANGE_VALIDATION_PASSED_FLAG]])</f>
        <v>0</v>
      </c>
      <c r="L47"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47" s="328">
        <f ca="1">IF(DB_TBL_DATA_FIELDS[[#This Row],[SHEET_REF_CALC]]="","",IF(DB_TBL_DATA_FIELDS[[#This Row],[FIELD_EMPTY_FLAG]],IF(NOT(DB_TBL_DATA_FIELDS[[#This Row],[FIELD_REQ_FLAG]]),-1,1),IF(NOT(DB_TBL_DATA_FIELDS[[#This Row],[FIELD_VALID_FLAG]]),0,2)))</f>
        <v>-1</v>
      </c>
      <c r="N47" s="8" t="str">
        <f ca="1">IFERROR(VLOOKUP(DB_TBL_DATA_FIELDS[[#This Row],[FIELD_STATUS_CODE]],DB_TBL_CONFIG_FIELDSTATUSCODES[#All],3,FALSE),"")</f>
        <v>Optional</v>
      </c>
      <c r="O47" s="8" t="str">
        <f ca="1">IFERROR(VLOOKUP(DB_TBL_DATA_FIELDS[[#This Row],[FIELD_STATUS_CODE]],DB_TBL_CONFIG_FIELDSTATUSCODES[#All],4,FALSE),"")</f>
        <v xml:space="preserve"> </v>
      </c>
      <c r="P47" s="8" t="b">
        <f>TRUE</f>
        <v>1</v>
      </c>
      <c r="Q47" s="8" t="b">
        <f>TRUE</f>
        <v>1</v>
      </c>
      <c r="R47" s="4" t="s">
        <v>40</v>
      </c>
      <c r="S47" s="8">
        <f ca="1">IF(DB_TBL_DATA_FIELDS[[#This Row],[RANGE_VALIDATION_FLAG]]="Text",LEN(DB_TBL_DATA_FIELDS[[#This Row],[FIELD_VALUE_RAW]]),IFERROR(VALUE(DB_TBL_DATA_FIELDS[[#This Row],[FIELD_VALUE_RAW]]),-1))</f>
        <v>-1</v>
      </c>
      <c r="T47" s="8">
        <v>0</v>
      </c>
      <c r="U47" s="8">
        <v>999999999</v>
      </c>
      <c r="V47" s="8" t="b">
        <f ca="1">IF(NOT(DB_TBL_DATA_FIELDS[[#This Row],[RANGE_VALIDATION_ON_FLAG]]),TRUE,
AND(DB_TBL_DATA_FIELDS[[#This Row],[RANGE_VALUE_LEN]]&gt;=DB_TBL_DATA_FIELDS[[#This Row],[RANGE_VALIDATION_MIN]],DB_TBL_DATA_FIELDS[[#This Row],[RANGE_VALUE_LEN]]&lt;=DB_TBL_DATA_FIELDS[[#This Row],[RANGE_VALIDATION_MAX]]))</f>
        <v>0</v>
      </c>
      <c r="W47" s="7">
        <v>1</v>
      </c>
      <c r="X47" s="7">
        <f ca="1">IF(DB_TBL_DATA_FIELDS[[#This Row],[PCT_CALC_SHOW_STATUS_CODE]]=1,
DB_TBL_DATA_FIELDS[[#This Row],[FIELD_STATUS_CODE]],
IF(AND(DB_TBL_DATA_FIELDS[[#This Row],[PCT_CALC_SHOW_STATUS_CODE]]=2,DB_TBL_DATA_FIELDS[[#This Row],[FIELD_STATUS_CODE]]=0),
DB_TBL_DATA_FIELDS[[#This Row],[FIELD_STATUS_CODE]],
"")
)</f>
        <v>-1</v>
      </c>
      <c r="Y47" s="69"/>
      <c r="Z47" s="12" t="s">
        <v>2439</v>
      </c>
      <c r="AA47" s="12" t="s">
        <v>2430</v>
      </c>
      <c r="AB47" s="12"/>
      <c r="AC47" s="12"/>
      <c r="AD47" s="12"/>
      <c r="AE47" s="35"/>
    </row>
    <row r="48" spans="1:31" x14ac:dyDescent="0.3">
      <c r="A48" s="10" t="s">
        <v>2771</v>
      </c>
      <c r="B48" s="7" t="str">
        <f>IFERROR(IF(FIND(DATA_EFORM_TYPE_CODE,DB_TBL_DATA_FIELDS[[#This Row],[APPLICABLE_EFORM_LIST]])&gt;0,DATA_EFORM_TYPE_CODE,""),"")</f>
        <v>AHEAD</v>
      </c>
      <c r="C48" s="4" t="s">
        <v>2834</v>
      </c>
      <c r="D48" s="4" t="b">
        <v>0</v>
      </c>
      <c r="E48" s="196" t="b">
        <v>0</v>
      </c>
      <c r="F48" s="6" t="s">
        <v>2829</v>
      </c>
      <c r="G48" s="34" t="str">
        <f ca="1">IFERROR(VLOOKUP(DB_TBL_DATA_FIELDS[[#This Row],[FIELD_ID]],INDIRECT(DB_TBL_DATA_FIELDS[[#This Row],[SHEET_REF_CALC]]&amp;"!A:B"),2,FALSE),"")</f>
        <v/>
      </c>
      <c r="H48" s="30" t="str">
        <f ca="1">IF(DB_TBL_DATA_FIELDS[[#This Row],[FIELD_EMPTY_FLAG]],"",AND(NOT($I$45),$H$45))</f>
        <v/>
      </c>
      <c r="I48" s="6" t="b">
        <f ca="1">(DB_TBL_DATA_FIELDS[[#This Row],[FIELD_VALUE_RAW]]="")</f>
        <v>1</v>
      </c>
      <c r="J48" s="6" t="s">
        <v>9</v>
      </c>
      <c r="K48" s="8" t="b">
        <f ca="1">AND(IF(DB_TBL_DATA_FIELDS[[#This Row],[FIELD_VALID_CUSTOM_LOGIC]]="",TRUE,DB_TBL_DATA_FIELDS[[#This Row],[FIELD_VALID_CUSTOM_LOGIC]]),DB_TBL_DATA_FIELDS[[#This Row],[RANGE_VALIDATION_PASSED_FLAG]])</f>
        <v>1</v>
      </c>
      <c r="L48"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48" s="328">
        <f ca="1">IF(DB_TBL_DATA_FIELDS[[#This Row],[SHEET_REF_CALC]]="","",IF(DB_TBL_DATA_FIELDS[[#This Row],[FIELD_EMPTY_FLAG]],IF(NOT(DB_TBL_DATA_FIELDS[[#This Row],[FIELD_REQ_FLAG]]),-1,1),IF(NOT(DB_TBL_DATA_FIELDS[[#This Row],[FIELD_VALID_FLAG]]),0,2)))</f>
        <v>-1</v>
      </c>
      <c r="N48" s="8" t="str">
        <f ca="1">IFERROR(VLOOKUP(DB_TBL_DATA_FIELDS[[#This Row],[FIELD_STATUS_CODE]],DB_TBL_CONFIG_FIELDSTATUSCODES[#All],3,FALSE),"")</f>
        <v>Optional</v>
      </c>
      <c r="O48" s="8" t="str">
        <f ca="1">IFERROR(VLOOKUP(DB_TBL_DATA_FIELDS[[#This Row],[FIELD_STATUS_CODE]],DB_TBL_CONFIG_FIELDSTATUSCODES[#All],4,FALSE),"")</f>
        <v xml:space="preserve"> </v>
      </c>
      <c r="P48" s="8" t="b">
        <f>TRUE</f>
        <v>1</v>
      </c>
      <c r="Q48" s="8" t="b">
        <f>TRUE</f>
        <v>1</v>
      </c>
      <c r="R48" s="4" t="s">
        <v>9</v>
      </c>
      <c r="S48" s="8">
        <f ca="1">IF(DB_TBL_DATA_FIELDS[[#This Row],[RANGE_VALIDATION_FLAG]]="Text",LEN(DB_TBL_DATA_FIELDS[[#This Row],[FIELD_VALUE_RAW]]),IFERROR(VALUE(DB_TBL_DATA_FIELDS[[#This Row],[FIELD_VALUE_RAW]]),-1))</f>
        <v>0</v>
      </c>
      <c r="T48" s="8">
        <v>0</v>
      </c>
      <c r="U48" s="8">
        <v>7</v>
      </c>
      <c r="V48" s="8" t="b">
        <f ca="1">IF(NOT(DB_TBL_DATA_FIELDS[[#This Row],[RANGE_VALIDATION_ON_FLAG]]),TRUE,
AND(DB_TBL_DATA_FIELDS[[#This Row],[RANGE_VALUE_LEN]]&gt;=DB_TBL_DATA_FIELDS[[#This Row],[RANGE_VALIDATION_MIN]],DB_TBL_DATA_FIELDS[[#This Row],[RANGE_VALUE_LEN]]&lt;=DB_TBL_DATA_FIELDS[[#This Row],[RANGE_VALIDATION_MAX]]))</f>
        <v>1</v>
      </c>
      <c r="W48" s="7">
        <v>1</v>
      </c>
      <c r="X48" s="7">
        <f ca="1">IF(DB_TBL_DATA_FIELDS[[#This Row],[PCT_CALC_SHOW_STATUS_CODE]]=1,
DB_TBL_DATA_FIELDS[[#This Row],[FIELD_STATUS_CODE]],
IF(AND(DB_TBL_DATA_FIELDS[[#This Row],[PCT_CALC_SHOW_STATUS_CODE]]=2,DB_TBL_DATA_FIELDS[[#This Row],[FIELD_STATUS_CODE]]=0),
DB_TBL_DATA_FIELDS[[#This Row],[FIELD_STATUS_CODE]],
"")
)</f>
        <v>-1</v>
      </c>
      <c r="Y48" s="69"/>
      <c r="Z48" s="12" t="s">
        <v>2439</v>
      </c>
      <c r="AA48" s="12" t="s">
        <v>2430</v>
      </c>
      <c r="AB48" s="12"/>
      <c r="AC48" s="12"/>
      <c r="AD48" s="12"/>
      <c r="AE48" s="35"/>
    </row>
    <row r="49" spans="1:31" x14ac:dyDescent="0.3">
      <c r="A49" s="10" t="s">
        <v>2771</v>
      </c>
      <c r="B49" s="7" t="str">
        <f>IFERROR(IF(FIND(DATA_EFORM_TYPE_CODE,DB_TBL_DATA_FIELDS[[#This Row],[APPLICABLE_EFORM_LIST]])&gt;0,DATA_EFORM_TYPE_CODE,""),"")</f>
        <v>AHEAD</v>
      </c>
      <c r="C49" s="4" t="s">
        <v>2442</v>
      </c>
      <c r="D49" s="4" t="b">
        <v>0</v>
      </c>
      <c r="E49" s="197" t="b">
        <f ca="1">AND(NOT($I$48),$H$48)</f>
        <v>0</v>
      </c>
      <c r="F49" s="6" t="s">
        <v>2451</v>
      </c>
      <c r="G49" s="34" t="str">
        <f ca="1">IFERROR(VLOOKUP(DB_TBL_DATA_FIELDS[[#This Row],[FIELD_ID]],INDIRECT(DB_TBL_DATA_FIELDS[[#This Row],[SHEET_REF_CALC]]&amp;"!A:B"),2,FALSE),"")</f>
        <v/>
      </c>
      <c r="H49" s="30" t="str">
        <f ca="1">IF(DB_TBL_DATA_FIELDS[[#This Row],[FIELD_EMPTY_FLAG]],"",AND(NOT($I$48),$H$48))</f>
        <v/>
      </c>
      <c r="I49" s="6" t="b">
        <f ca="1">(DB_TBL_DATA_FIELDS[[#This Row],[FIELD_VALUE_RAW]]="")</f>
        <v>1</v>
      </c>
      <c r="J49" s="6" t="s">
        <v>9</v>
      </c>
      <c r="K49" s="8" t="b">
        <f ca="1">AND(IF(DB_TBL_DATA_FIELDS[[#This Row],[FIELD_VALID_CUSTOM_LOGIC]]="",TRUE,DB_TBL_DATA_FIELDS[[#This Row],[FIELD_VALID_CUSTOM_LOGIC]]),DB_TBL_DATA_FIELDS[[#This Row],[RANGE_VALIDATION_PASSED_FLAG]])</f>
        <v>1</v>
      </c>
      <c r="L49"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49" s="328">
        <f ca="1">IF(DB_TBL_DATA_FIELDS[[#This Row],[SHEET_REF_CALC]]="","",IF(DB_TBL_DATA_FIELDS[[#This Row],[FIELD_EMPTY_FLAG]],IF(NOT(DB_TBL_DATA_FIELDS[[#This Row],[FIELD_REQ_FLAG]]),-1,1),IF(NOT(DB_TBL_DATA_FIELDS[[#This Row],[FIELD_VALID_FLAG]]),0,2)))</f>
        <v>-1</v>
      </c>
      <c r="N49" s="8" t="str">
        <f ca="1">IFERROR(VLOOKUP(DB_TBL_DATA_FIELDS[[#This Row],[FIELD_STATUS_CODE]],DB_TBL_CONFIG_FIELDSTATUSCODES[#All],3,FALSE),"")</f>
        <v>Optional</v>
      </c>
      <c r="O49" s="8" t="str">
        <f ca="1">IFERROR(VLOOKUP(DB_TBL_DATA_FIELDS[[#This Row],[FIELD_STATUS_CODE]],DB_TBL_CONFIG_FIELDSTATUSCODES[#All],4,FALSE),"")</f>
        <v xml:space="preserve"> </v>
      </c>
      <c r="P49" s="8" t="b">
        <f>TRUE</f>
        <v>1</v>
      </c>
      <c r="Q49" s="8" t="b">
        <f>TRUE</f>
        <v>1</v>
      </c>
      <c r="R49" s="4" t="s">
        <v>9</v>
      </c>
      <c r="S49" s="8">
        <f ca="1">IF(DB_TBL_DATA_FIELDS[[#This Row],[RANGE_VALIDATION_FLAG]]="Text",LEN(DB_TBL_DATA_FIELDS[[#This Row],[FIELD_VALUE_RAW]]),IFERROR(VALUE(DB_TBL_DATA_FIELDS[[#This Row],[FIELD_VALUE_RAW]]),-1))</f>
        <v>0</v>
      </c>
      <c r="T49" s="8">
        <v>0</v>
      </c>
      <c r="U49" s="8">
        <v>250</v>
      </c>
      <c r="V49" s="8" t="b">
        <f ca="1">IF(NOT(DB_TBL_DATA_FIELDS[[#This Row],[RANGE_VALIDATION_ON_FLAG]]),TRUE,
AND(DB_TBL_DATA_FIELDS[[#This Row],[RANGE_VALUE_LEN]]&gt;=DB_TBL_DATA_FIELDS[[#This Row],[RANGE_VALIDATION_MIN]],DB_TBL_DATA_FIELDS[[#This Row],[RANGE_VALUE_LEN]]&lt;=DB_TBL_DATA_FIELDS[[#This Row],[RANGE_VALIDATION_MAX]]))</f>
        <v>1</v>
      </c>
      <c r="W49" s="7">
        <v>1</v>
      </c>
      <c r="X49" s="7">
        <f ca="1">IF(DB_TBL_DATA_FIELDS[[#This Row],[PCT_CALC_SHOW_STATUS_CODE]]=1,
DB_TBL_DATA_FIELDS[[#This Row],[FIELD_STATUS_CODE]],
IF(AND(DB_TBL_DATA_FIELDS[[#This Row],[PCT_CALC_SHOW_STATUS_CODE]]=2,DB_TBL_DATA_FIELDS[[#This Row],[FIELD_STATUS_CODE]]=0),
DB_TBL_DATA_FIELDS[[#This Row],[FIELD_STATUS_CODE]],
"")
)</f>
        <v>-1</v>
      </c>
      <c r="Y49" s="69"/>
      <c r="Z49" s="12" t="s">
        <v>2439</v>
      </c>
      <c r="AA49" s="12" t="s">
        <v>2430</v>
      </c>
      <c r="AB49" s="12"/>
      <c r="AC49" s="12"/>
      <c r="AD49" s="12"/>
      <c r="AE49" s="35"/>
    </row>
    <row r="50" spans="1:31" x14ac:dyDescent="0.3">
      <c r="A50" s="10" t="s">
        <v>2771</v>
      </c>
      <c r="B50" s="7" t="str">
        <f>IFERROR(IF(FIND(DATA_EFORM_TYPE_CODE,DB_TBL_DATA_FIELDS[[#This Row],[APPLICABLE_EFORM_LIST]])&gt;0,DATA_EFORM_TYPE_CODE,""),"")</f>
        <v>AHEAD</v>
      </c>
      <c r="C50" s="4" t="s">
        <v>2443</v>
      </c>
      <c r="D50" s="4" t="b">
        <v>0</v>
      </c>
      <c r="E50" s="197" t="b">
        <f ca="1">AND(NOT($I$48),$H$48)</f>
        <v>0</v>
      </c>
      <c r="F50" s="6" t="s">
        <v>2457</v>
      </c>
      <c r="G50" s="34" t="str">
        <f ca="1">IFERROR(VLOOKUP(DB_TBL_DATA_FIELDS[[#This Row],[FIELD_ID]],INDIRECT(DB_TBL_DATA_FIELDS[[#This Row],[SHEET_REF_CALC]]&amp;"!A:B"),2,FALSE),"")</f>
        <v/>
      </c>
      <c r="H50" s="30" t="str">
        <f ca="1">IF(DB_TBL_DATA_FIELDS[[#This Row],[FIELD_EMPTY_FLAG]],"",AND(NOT($I$48),$H$48,DB_TBL_DATA_FIELDS[[#This Row],[FIELD_VALUE_RAW]]&gt;0))</f>
        <v/>
      </c>
      <c r="I50" s="6" t="b">
        <f ca="1">(DB_TBL_DATA_FIELDS[[#This Row],[FIELD_VALUE_RAW]]="")</f>
        <v>1</v>
      </c>
      <c r="J50" s="6" t="s">
        <v>40</v>
      </c>
      <c r="K50" s="8" t="b">
        <f ca="1">AND(IF(DB_TBL_DATA_FIELDS[[#This Row],[FIELD_VALID_CUSTOM_LOGIC]]="",TRUE,DB_TBL_DATA_FIELDS[[#This Row],[FIELD_VALID_CUSTOM_LOGIC]]),DB_TBL_DATA_FIELDS[[#This Row],[RANGE_VALIDATION_PASSED_FLAG]])</f>
        <v>0</v>
      </c>
      <c r="L50"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50" s="328">
        <f ca="1">IF(DB_TBL_DATA_FIELDS[[#This Row],[SHEET_REF_CALC]]="","",IF(DB_TBL_DATA_FIELDS[[#This Row],[FIELD_EMPTY_FLAG]],IF(NOT(DB_TBL_DATA_FIELDS[[#This Row],[FIELD_REQ_FLAG]]),-1,1),IF(NOT(DB_TBL_DATA_FIELDS[[#This Row],[FIELD_VALID_FLAG]]),0,2)))</f>
        <v>-1</v>
      </c>
      <c r="N50" s="8" t="str">
        <f ca="1">IFERROR(VLOOKUP(DB_TBL_DATA_FIELDS[[#This Row],[FIELD_STATUS_CODE]],DB_TBL_CONFIG_FIELDSTATUSCODES[#All],3,FALSE),"")</f>
        <v>Optional</v>
      </c>
      <c r="O50" s="8" t="str">
        <f ca="1">IFERROR(VLOOKUP(DB_TBL_DATA_FIELDS[[#This Row],[FIELD_STATUS_CODE]],DB_TBL_CONFIG_FIELDSTATUSCODES[#All],4,FALSE),"")</f>
        <v xml:space="preserve"> </v>
      </c>
      <c r="P50" s="8" t="b">
        <f>TRUE</f>
        <v>1</v>
      </c>
      <c r="Q50" s="8" t="b">
        <f>TRUE</f>
        <v>1</v>
      </c>
      <c r="R50" s="4" t="s">
        <v>40</v>
      </c>
      <c r="S50" s="8">
        <f ca="1">IF(DB_TBL_DATA_FIELDS[[#This Row],[RANGE_VALIDATION_FLAG]]="Text",LEN(DB_TBL_DATA_FIELDS[[#This Row],[FIELD_VALUE_RAW]]),IFERROR(VALUE(DB_TBL_DATA_FIELDS[[#This Row],[FIELD_VALUE_RAW]]),-1))</f>
        <v>-1</v>
      </c>
      <c r="T50" s="8">
        <v>0</v>
      </c>
      <c r="U50" s="8">
        <v>999999999</v>
      </c>
      <c r="V50" s="8" t="b">
        <f ca="1">IF(NOT(DB_TBL_DATA_FIELDS[[#This Row],[RANGE_VALIDATION_ON_FLAG]]),TRUE,
AND(DB_TBL_DATA_FIELDS[[#This Row],[RANGE_VALUE_LEN]]&gt;=DB_TBL_DATA_FIELDS[[#This Row],[RANGE_VALIDATION_MIN]],DB_TBL_DATA_FIELDS[[#This Row],[RANGE_VALUE_LEN]]&lt;=DB_TBL_DATA_FIELDS[[#This Row],[RANGE_VALIDATION_MAX]]))</f>
        <v>0</v>
      </c>
      <c r="W50" s="7">
        <v>1</v>
      </c>
      <c r="X50" s="7">
        <f ca="1">IF(DB_TBL_DATA_FIELDS[[#This Row],[PCT_CALC_SHOW_STATUS_CODE]]=1,
DB_TBL_DATA_FIELDS[[#This Row],[FIELD_STATUS_CODE]],
IF(AND(DB_TBL_DATA_FIELDS[[#This Row],[PCT_CALC_SHOW_STATUS_CODE]]=2,DB_TBL_DATA_FIELDS[[#This Row],[FIELD_STATUS_CODE]]=0),
DB_TBL_DATA_FIELDS[[#This Row],[FIELD_STATUS_CODE]],
"")
)</f>
        <v>-1</v>
      </c>
      <c r="Y50" s="69"/>
      <c r="Z50" s="12" t="s">
        <v>2439</v>
      </c>
      <c r="AA50" s="12" t="s">
        <v>2430</v>
      </c>
      <c r="AB50" s="12"/>
      <c r="AC50" s="12"/>
      <c r="AD50" s="12"/>
      <c r="AE50" s="35"/>
    </row>
    <row r="51" spans="1:31" x14ac:dyDescent="0.3">
      <c r="A51" s="10" t="s">
        <v>2771</v>
      </c>
      <c r="B51" s="7" t="str">
        <f>IFERROR(IF(FIND(DATA_EFORM_TYPE_CODE,DB_TBL_DATA_FIELDS[[#This Row],[APPLICABLE_EFORM_LIST]])&gt;0,DATA_EFORM_TYPE_CODE,""),"")</f>
        <v>AHEAD</v>
      </c>
      <c r="C51" s="4" t="s">
        <v>2835</v>
      </c>
      <c r="D51" s="4" t="b">
        <v>0</v>
      </c>
      <c r="E51" s="196" t="b">
        <v>0</v>
      </c>
      <c r="F51" s="6" t="s">
        <v>2830</v>
      </c>
      <c r="G51" s="34" t="str">
        <f ca="1">IFERROR(VLOOKUP(DB_TBL_DATA_FIELDS[[#This Row],[FIELD_ID]],INDIRECT(DB_TBL_DATA_FIELDS[[#This Row],[SHEET_REF_CALC]]&amp;"!A:B"),2,FALSE),"")</f>
        <v/>
      </c>
      <c r="H51" s="30" t="str">
        <f ca="1">IF(DB_TBL_DATA_FIELDS[[#This Row],[FIELD_EMPTY_FLAG]],"",AND(NOT($I$48),$H$48))</f>
        <v/>
      </c>
      <c r="I51" s="6" t="b">
        <f ca="1">(DB_TBL_DATA_FIELDS[[#This Row],[FIELD_VALUE_RAW]]="")</f>
        <v>1</v>
      </c>
      <c r="J51" s="6" t="s">
        <v>9</v>
      </c>
      <c r="K51" s="8" t="b">
        <f ca="1">AND(IF(DB_TBL_DATA_FIELDS[[#This Row],[FIELD_VALID_CUSTOM_LOGIC]]="",TRUE,DB_TBL_DATA_FIELDS[[#This Row],[FIELD_VALID_CUSTOM_LOGIC]]),DB_TBL_DATA_FIELDS[[#This Row],[RANGE_VALIDATION_PASSED_FLAG]])</f>
        <v>1</v>
      </c>
      <c r="L51"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51" s="328">
        <f ca="1">IF(DB_TBL_DATA_FIELDS[[#This Row],[SHEET_REF_CALC]]="","",IF(DB_TBL_DATA_FIELDS[[#This Row],[FIELD_EMPTY_FLAG]],IF(NOT(DB_TBL_DATA_FIELDS[[#This Row],[FIELD_REQ_FLAG]]),-1,1),IF(NOT(DB_TBL_DATA_FIELDS[[#This Row],[FIELD_VALID_FLAG]]),0,2)))</f>
        <v>-1</v>
      </c>
      <c r="N51" s="8" t="str">
        <f ca="1">IFERROR(VLOOKUP(DB_TBL_DATA_FIELDS[[#This Row],[FIELD_STATUS_CODE]],DB_TBL_CONFIG_FIELDSTATUSCODES[#All],3,FALSE),"")</f>
        <v>Optional</v>
      </c>
      <c r="O51" s="8" t="str">
        <f ca="1">IFERROR(VLOOKUP(DB_TBL_DATA_FIELDS[[#This Row],[FIELD_STATUS_CODE]],DB_TBL_CONFIG_FIELDSTATUSCODES[#All],4,FALSE),"")</f>
        <v xml:space="preserve"> </v>
      </c>
      <c r="P51" s="8" t="b">
        <f>TRUE</f>
        <v>1</v>
      </c>
      <c r="Q51" s="8" t="b">
        <f>TRUE</f>
        <v>1</v>
      </c>
      <c r="R51" s="4" t="s">
        <v>9</v>
      </c>
      <c r="S51" s="8">
        <f ca="1">IF(DB_TBL_DATA_FIELDS[[#This Row],[RANGE_VALIDATION_FLAG]]="Text",LEN(DB_TBL_DATA_FIELDS[[#This Row],[FIELD_VALUE_RAW]]),IFERROR(VALUE(DB_TBL_DATA_FIELDS[[#This Row],[FIELD_VALUE_RAW]]),-1))</f>
        <v>0</v>
      </c>
      <c r="T51" s="8">
        <v>0</v>
      </c>
      <c r="U51" s="8">
        <v>7</v>
      </c>
      <c r="V51" s="8" t="b">
        <f ca="1">IF(NOT(DB_TBL_DATA_FIELDS[[#This Row],[RANGE_VALIDATION_ON_FLAG]]),TRUE,
AND(DB_TBL_DATA_FIELDS[[#This Row],[RANGE_VALUE_LEN]]&gt;=DB_TBL_DATA_FIELDS[[#This Row],[RANGE_VALIDATION_MIN]],DB_TBL_DATA_FIELDS[[#This Row],[RANGE_VALUE_LEN]]&lt;=DB_TBL_DATA_FIELDS[[#This Row],[RANGE_VALIDATION_MAX]]))</f>
        <v>1</v>
      </c>
      <c r="W51" s="7">
        <v>1</v>
      </c>
      <c r="X51" s="7">
        <f ca="1">IF(DB_TBL_DATA_FIELDS[[#This Row],[PCT_CALC_SHOW_STATUS_CODE]]=1,
DB_TBL_DATA_FIELDS[[#This Row],[FIELD_STATUS_CODE]],
IF(AND(DB_TBL_DATA_FIELDS[[#This Row],[PCT_CALC_SHOW_STATUS_CODE]]=2,DB_TBL_DATA_FIELDS[[#This Row],[FIELD_STATUS_CODE]]=0),
DB_TBL_DATA_FIELDS[[#This Row],[FIELD_STATUS_CODE]],
"")
)</f>
        <v>-1</v>
      </c>
      <c r="Y51" s="69"/>
      <c r="Z51" s="12" t="s">
        <v>2439</v>
      </c>
      <c r="AA51" s="12" t="s">
        <v>2430</v>
      </c>
      <c r="AB51" s="12"/>
      <c r="AC51" s="12"/>
      <c r="AD51" s="12"/>
      <c r="AE51" s="35"/>
    </row>
    <row r="52" spans="1:31" x14ac:dyDescent="0.3">
      <c r="A52" s="10" t="s">
        <v>2771</v>
      </c>
      <c r="B52" s="7" t="str">
        <f>IFERROR(IF(FIND(DATA_EFORM_TYPE_CODE,DB_TBL_DATA_FIELDS[[#This Row],[APPLICABLE_EFORM_LIST]])&gt;0,DATA_EFORM_TYPE_CODE,""),"")</f>
        <v>AHEAD</v>
      </c>
      <c r="C52" s="4" t="s">
        <v>2444</v>
      </c>
      <c r="D52" s="4" t="b">
        <v>0</v>
      </c>
      <c r="E52" s="197" t="b">
        <f ca="1">AND(NOT($I$51),$H$51)</f>
        <v>0</v>
      </c>
      <c r="F52" s="6" t="s">
        <v>2452</v>
      </c>
      <c r="G52" s="34" t="str">
        <f ca="1">IFERROR(VLOOKUP(DB_TBL_DATA_FIELDS[[#This Row],[FIELD_ID]],INDIRECT(DB_TBL_DATA_FIELDS[[#This Row],[SHEET_REF_CALC]]&amp;"!A:B"),2,FALSE),"")</f>
        <v/>
      </c>
      <c r="H52" s="30" t="str">
        <f ca="1">IF(DB_TBL_DATA_FIELDS[[#This Row],[FIELD_EMPTY_FLAG]],"",AND(NOT($I$51),$H$51))</f>
        <v/>
      </c>
      <c r="I52" s="6" t="b">
        <f ca="1">(DB_TBL_DATA_FIELDS[[#This Row],[FIELD_VALUE_RAW]]="")</f>
        <v>1</v>
      </c>
      <c r="J52" s="6" t="s">
        <v>9</v>
      </c>
      <c r="K52" s="8" t="b">
        <f ca="1">AND(IF(DB_TBL_DATA_FIELDS[[#This Row],[FIELD_VALID_CUSTOM_LOGIC]]="",TRUE,DB_TBL_DATA_FIELDS[[#This Row],[FIELD_VALID_CUSTOM_LOGIC]]),DB_TBL_DATA_FIELDS[[#This Row],[RANGE_VALIDATION_PASSED_FLAG]])</f>
        <v>1</v>
      </c>
      <c r="L52"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52" s="328">
        <f ca="1">IF(DB_TBL_DATA_FIELDS[[#This Row],[SHEET_REF_CALC]]="","",IF(DB_TBL_DATA_FIELDS[[#This Row],[FIELD_EMPTY_FLAG]],IF(NOT(DB_TBL_DATA_FIELDS[[#This Row],[FIELD_REQ_FLAG]]),-1,1),IF(NOT(DB_TBL_DATA_FIELDS[[#This Row],[FIELD_VALID_FLAG]]),0,2)))</f>
        <v>-1</v>
      </c>
      <c r="N52" s="8" t="str">
        <f ca="1">IFERROR(VLOOKUP(DB_TBL_DATA_FIELDS[[#This Row],[FIELD_STATUS_CODE]],DB_TBL_CONFIG_FIELDSTATUSCODES[#All],3,FALSE),"")</f>
        <v>Optional</v>
      </c>
      <c r="O52" s="8" t="str">
        <f ca="1">IFERROR(VLOOKUP(DB_TBL_DATA_FIELDS[[#This Row],[FIELD_STATUS_CODE]],DB_TBL_CONFIG_FIELDSTATUSCODES[#All],4,FALSE),"")</f>
        <v xml:space="preserve"> </v>
      </c>
      <c r="P52" s="8" t="b">
        <f>TRUE</f>
        <v>1</v>
      </c>
      <c r="Q52" s="8" t="b">
        <f>TRUE</f>
        <v>1</v>
      </c>
      <c r="R52" s="4" t="s">
        <v>9</v>
      </c>
      <c r="S52" s="8">
        <f ca="1">IF(DB_TBL_DATA_FIELDS[[#This Row],[RANGE_VALIDATION_FLAG]]="Text",LEN(DB_TBL_DATA_FIELDS[[#This Row],[FIELD_VALUE_RAW]]),IFERROR(VALUE(DB_TBL_DATA_FIELDS[[#This Row],[FIELD_VALUE_RAW]]),-1))</f>
        <v>0</v>
      </c>
      <c r="T52" s="8">
        <v>0</v>
      </c>
      <c r="U52" s="8">
        <v>250</v>
      </c>
      <c r="V52" s="8" t="b">
        <f ca="1">IF(NOT(DB_TBL_DATA_FIELDS[[#This Row],[RANGE_VALIDATION_ON_FLAG]]),TRUE,
AND(DB_TBL_DATA_FIELDS[[#This Row],[RANGE_VALUE_LEN]]&gt;=DB_TBL_DATA_FIELDS[[#This Row],[RANGE_VALIDATION_MIN]],DB_TBL_DATA_FIELDS[[#This Row],[RANGE_VALUE_LEN]]&lt;=DB_TBL_DATA_FIELDS[[#This Row],[RANGE_VALIDATION_MAX]]))</f>
        <v>1</v>
      </c>
      <c r="W52" s="7">
        <v>1</v>
      </c>
      <c r="X52" s="7">
        <f ca="1">IF(DB_TBL_DATA_FIELDS[[#This Row],[PCT_CALC_SHOW_STATUS_CODE]]=1,
DB_TBL_DATA_FIELDS[[#This Row],[FIELD_STATUS_CODE]],
IF(AND(DB_TBL_DATA_FIELDS[[#This Row],[PCT_CALC_SHOW_STATUS_CODE]]=2,DB_TBL_DATA_FIELDS[[#This Row],[FIELD_STATUS_CODE]]=0),
DB_TBL_DATA_FIELDS[[#This Row],[FIELD_STATUS_CODE]],
"")
)</f>
        <v>-1</v>
      </c>
      <c r="Y52" s="69"/>
      <c r="Z52" s="12" t="s">
        <v>2439</v>
      </c>
      <c r="AA52" s="12" t="s">
        <v>2430</v>
      </c>
      <c r="AB52" s="12"/>
      <c r="AC52" s="12"/>
      <c r="AD52" s="12"/>
      <c r="AE52" s="35"/>
    </row>
    <row r="53" spans="1:31" x14ac:dyDescent="0.3">
      <c r="A53" s="10" t="s">
        <v>2771</v>
      </c>
      <c r="B53" s="7" t="str">
        <f>IFERROR(IF(FIND(DATA_EFORM_TYPE_CODE,DB_TBL_DATA_FIELDS[[#This Row],[APPLICABLE_EFORM_LIST]])&gt;0,DATA_EFORM_TYPE_CODE,""),"")</f>
        <v>AHEAD</v>
      </c>
      <c r="C53" s="4" t="s">
        <v>2445</v>
      </c>
      <c r="D53" s="4" t="b">
        <v>0</v>
      </c>
      <c r="E53" s="197" t="b">
        <f ca="1">AND(NOT($I$51),$H$51)</f>
        <v>0</v>
      </c>
      <c r="F53" s="6" t="s">
        <v>2458</v>
      </c>
      <c r="G53" s="34" t="str">
        <f ca="1">IFERROR(VLOOKUP(DB_TBL_DATA_FIELDS[[#This Row],[FIELD_ID]],INDIRECT(DB_TBL_DATA_FIELDS[[#This Row],[SHEET_REF_CALC]]&amp;"!A:B"),2,FALSE),"")</f>
        <v/>
      </c>
      <c r="H53" s="30" t="str">
        <f ca="1">IF(DB_TBL_DATA_FIELDS[[#This Row],[FIELD_EMPTY_FLAG]],"",AND(NOT($I$51),$H$51,DB_TBL_DATA_FIELDS[[#This Row],[FIELD_VALUE_RAW]]&gt;0))</f>
        <v/>
      </c>
      <c r="I53" s="6" t="b">
        <f ca="1">(DB_TBL_DATA_FIELDS[[#This Row],[FIELD_VALUE_RAW]]="")</f>
        <v>1</v>
      </c>
      <c r="J53" s="6" t="s">
        <v>40</v>
      </c>
      <c r="K53" s="8" t="b">
        <f ca="1">AND(IF(DB_TBL_DATA_FIELDS[[#This Row],[FIELD_VALID_CUSTOM_LOGIC]]="",TRUE,DB_TBL_DATA_FIELDS[[#This Row],[FIELD_VALID_CUSTOM_LOGIC]]),DB_TBL_DATA_FIELDS[[#This Row],[RANGE_VALIDATION_PASSED_FLAG]])</f>
        <v>0</v>
      </c>
      <c r="L53"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53" s="328">
        <f ca="1">IF(DB_TBL_DATA_FIELDS[[#This Row],[SHEET_REF_CALC]]="","",IF(DB_TBL_DATA_FIELDS[[#This Row],[FIELD_EMPTY_FLAG]],IF(NOT(DB_TBL_DATA_FIELDS[[#This Row],[FIELD_REQ_FLAG]]),-1,1),IF(NOT(DB_TBL_DATA_FIELDS[[#This Row],[FIELD_VALID_FLAG]]),0,2)))</f>
        <v>-1</v>
      </c>
      <c r="N53" s="8" t="str">
        <f ca="1">IFERROR(VLOOKUP(DB_TBL_DATA_FIELDS[[#This Row],[FIELD_STATUS_CODE]],DB_TBL_CONFIG_FIELDSTATUSCODES[#All],3,FALSE),"")</f>
        <v>Optional</v>
      </c>
      <c r="O53" s="8" t="str">
        <f ca="1">IFERROR(VLOOKUP(DB_TBL_DATA_FIELDS[[#This Row],[FIELD_STATUS_CODE]],DB_TBL_CONFIG_FIELDSTATUSCODES[#All],4,FALSE),"")</f>
        <v xml:space="preserve"> </v>
      </c>
      <c r="P53" s="8" t="b">
        <f>TRUE</f>
        <v>1</v>
      </c>
      <c r="Q53" s="8" t="b">
        <f>TRUE</f>
        <v>1</v>
      </c>
      <c r="R53" s="4" t="s">
        <v>40</v>
      </c>
      <c r="S53" s="8">
        <f ca="1">IF(DB_TBL_DATA_FIELDS[[#This Row],[RANGE_VALIDATION_FLAG]]="Text",LEN(DB_TBL_DATA_FIELDS[[#This Row],[FIELD_VALUE_RAW]]),IFERROR(VALUE(DB_TBL_DATA_FIELDS[[#This Row],[FIELD_VALUE_RAW]]),-1))</f>
        <v>-1</v>
      </c>
      <c r="T53" s="8">
        <v>0</v>
      </c>
      <c r="U53" s="8">
        <v>999999999</v>
      </c>
      <c r="V53" s="8" t="b">
        <f ca="1">IF(NOT(DB_TBL_DATA_FIELDS[[#This Row],[RANGE_VALIDATION_ON_FLAG]]),TRUE,
AND(DB_TBL_DATA_FIELDS[[#This Row],[RANGE_VALUE_LEN]]&gt;=DB_TBL_DATA_FIELDS[[#This Row],[RANGE_VALIDATION_MIN]],DB_TBL_DATA_FIELDS[[#This Row],[RANGE_VALUE_LEN]]&lt;=DB_TBL_DATA_FIELDS[[#This Row],[RANGE_VALIDATION_MAX]]))</f>
        <v>0</v>
      </c>
      <c r="W53" s="7">
        <v>1</v>
      </c>
      <c r="X53" s="7">
        <f ca="1">IF(DB_TBL_DATA_FIELDS[[#This Row],[PCT_CALC_SHOW_STATUS_CODE]]=1,
DB_TBL_DATA_FIELDS[[#This Row],[FIELD_STATUS_CODE]],
IF(AND(DB_TBL_DATA_FIELDS[[#This Row],[PCT_CALC_SHOW_STATUS_CODE]]=2,DB_TBL_DATA_FIELDS[[#This Row],[FIELD_STATUS_CODE]]=0),
DB_TBL_DATA_FIELDS[[#This Row],[FIELD_STATUS_CODE]],
"")
)</f>
        <v>-1</v>
      </c>
      <c r="Y53" s="69"/>
      <c r="Z53" s="12" t="s">
        <v>2439</v>
      </c>
      <c r="AA53" s="12" t="s">
        <v>2430</v>
      </c>
      <c r="AB53" s="12"/>
      <c r="AC53" s="12"/>
      <c r="AD53" s="12"/>
      <c r="AE53" s="35"/>
    </row>
    <row r="54" spans="1:31" x14ac:dyDescent="0.3">
      <c r="A54" s="10" t="s">
        <v>2771</v>
      </c>
      <c r="B54" s="7" t="str">
        <f>IFERROR(IF(FIND(DATA_EFORM_TYPE_CODE,DB_TBL_DATA_FIELDS[[#This Row],[APPLICABLE_EFORM_LIST]])&gt;0,DATA_EFORM_TYPE_CODE,""),"")</f>
        <v>AHEAD</v>
      </c>
      <c r="C54" s="4" t="s">
        <v>2836</v>
      </c>
      <c r="D54" s="4" t="b">
        <v>0</v>
      </c>
      <c r="E54" s="196" t="b">
        <v>0</v>
      </c>
      <c r="F54" s="6" t="s">
        <v>2831</v>
      </c>
      <c r="G54" s="34" t="str">
        <f ca="1">IFERROR(VLOOKUP(DB_TBL_DATA_FIELDS[[#This Row],[FIELD_ID]],INDIRECT(DB_TBL_DATA_FIELDS[[#This Row],[SHEET_REF_CALC]]&amp;"!A:B"),2,FALSE),"")</f>
        <v/>
      </c>
      <c r="H54" s="30" t="str">
        <f ca="1">IF(DB_TBL_DATA_FIELDS[[#This Row],[FIELD_EMPTY_FLAG]],"",AND(NOT($I$51),$H$51))</f>
        <v/>
      </c>
      <c r="I54" s="6" t="b">
        <f ca="1">(DB_TBL_DATA_FIELDS[[#This Row],[FIELD_VALUE_RAW]]="")</f>
        <v>1</v>
      </c>
      <c r="J54" s="6" t="s">
        <v>9</v>
      </c>
      <c r="K54" s="8" t="b">
        <f ca="1">AND(IF(DB_TBL_DATA_FIELDS[[#This Row],[FIELD_VALID_CUSTOM_LOGIC]]="",TRUE,DB_TBL_DATA_FIELDS[[#This Row],[FIELD_VALID_CUSTOM_LOGIC]]),DB_TBL_DATA_FIELDS[[#This Row],[RANGE_VALIDATION_PASSED_FLAG]])</f>
        <v>1</v>
      </c>
      <c r="L54"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54" s="328">
        <f ca="1">IF(DB_TBL_DATA_FIELDS[[#This Row],[SHEET_REF_CALC]]="","",IF(DB_TBL_DATA_FIELDS[[#This Row],[FIELD_EMPTY_FLAG]],IF(NOT(DB_TBL_DATA_FIELDS[[#This Row],[FIELD_REQ_FLAG]]),-1,1),IF(NOT(DB_TBL_DATA_FIELDS[[#This Row],[FIELD_VALID_FLAG]]),0,2)))</f>
        <v>-1</v>
      </c>
      <c r="N54" s="8" t="str">
        <f ca="1">IFERROR(VLOOKUP(DB_TBL_DATA_FIELDS[[#This Row],[FIELD_STATUS_CODE]],DB_TBL_CONFIG_FIELDSTATUSCODES[#All],3,FALSE),"")</f>
        <v>Optional</v>
      </c>
      <c r="O54" s="8" t="str">
        <f ca="1">IFERROR(VLOOKUP(DB_TBL_DATA_FIELDS[[#This Row],[FIELD_STATUS_CODE]],DB_TBL_CONFIG_FIELDSTATUSCODES[#All],4,FALSE),"")</f>
        <v xml:space="preserve"> </v>
      </c>
      <c r="P54" s="8" t="b">
        <f>TRUE</f>
        <v>1</v>
      </c>
      <c r="Q54" s="8" t="b">
        <f>TRUE</f>
        <v>1</v>
      </c>
      <c r="R54" s="4" t="s">
        <v>9</v>
      </c>
      <c r="S54" s="8">
        <f ca="1">IF(DB_TBL_DATA_FIELDS[[#This Row],[RANGE_VALIDATION_FLAG]]="Text",LEN(DB_TBL_DATA_FIELDS[[#This Row],[FIELD_VALUE_RAW]]),IFERROR(VALUE(DB_TBL_DATA_FIELDS[[#This Row],[FIELD_VALUE_RAW]]),-1))</f>
        <v>0</v>
      </c>
      <c r="T54" s="8">
        <v>0</v>
      </c>
      <c r="U54" s="8">
        <v>7</v>
      </c>
      <c r="V54" s="8" t="b">
        <f ca="1">IF(NOT(DB_TBL_DATA_FIELDS[[#This Row],[RANGE_VALIDATION_ON_FLAG]]),TRUE,
AND(DB_TBL_DATA_FIELDS[[#This Row],[RANGE_VALUE_LEN]]&gt;=DB_TBL_DATA_FIELDS[[#This Row],[RANGE_VALIDATION_MIN]],DB_TBL_DATA_FIELDS[[#This Row],[RANGE_VALUE_LEN]]&lt;=DB_TBL_DATA_FIELDS[[#This Row],[RANGE_VALIDATION_MAX]]))</f>
        <v>1</v>
      </c>
      <c r="W54" s="7">
        <v>1</v>
      </c>
      <c r="X54" s="7">
        <f ca="1">IF(DB_TBL_DATA_FIELDS[[#This Row],[PCT_CALC_SHOW_STATUS_CODE]]=1,
DB_TBL_DATA_FIELDS[[#This Row],[FIELD_STATUS_CODE]],
IF(AND(DB_TBL_DATA_FIELDS[[#This Row],[PCT_CALC_SHOW_STATUS_CODE]]=2,DB_TBL_DATA_FIELDS[[#This Row],[FIELD_STATUS_CODE]]=0),
DB_TBL_DATA_FIELDS[[#This Row],[FIELD_STATUS_CODE]],
"")
)</f>
        <v>-1</v>
      </c>
      <c r="Y54" s="69"/>
      <c r="Z54" s="12" t="s">
        <v>2439</v>
      </c>
      <c r="AA54" s="12" t="s">
        <v>2430</v>
      </c>
      <c r="AB54" s="12"/>
      <c r="AC54" s="12"/>
      <c r="AD54" s="12"/>
      <c r="AE54" s="35"/>
    </row>
    <row r="55" spans="1:31" x14ac:dyDescent="0.3">
      <c r="A55" s="10" t="s">
        <v>2771</v>
      </c>
      <c r="B55" s="7" t="str">
        <f>IFERROR(IF(FIND(DATA_EFORM_TYPE_CODE,DB_TBL_DATA_FIELDS[[#This Row],[APPLICABLE_EFORM_LIST]])&gt;0,DATA_EFORM_TYPE_CODE,""),"")</f>
        <v>AHEAD</v>
      </c>
      <c r="C55" s="4" t="s">
        <v>2446</v>
      </c>
      <c r="D55" s="4" t="b">
        <v>0</v>
      </c>
      <c r="E55" s="197" t="b">
        <f ca="1">AND(NOT($I$54),$H$54)</f>
        <v>0</v>
      </c>
      <c r="F55" s="6" t="s">
        <v>2453</v>
      </c>
      <c r="G55" s="34" t="str">
        <f ca="1">IFERROR(VLOOKUP(DB_TBL_DATA_FIELDS[[#This Row],[FIELD_ID]],INDIRECT(DB_TBL_DATA_FIELDS[[#This Row],[SHEET_REF_CALC]]&amp;"!A:B"),2,FALSE),"")</f>
        <v/>
      </c>
      <c r="H55" s="30" t="str">
        <f ca="1">IF(DB_TBL_DATA_FIELDS[[#This Row],[FIELD_EMPTY_FLAG]],"",AND(NOT($I$54),$H$54))</f>
        <v/>
      </c>
      <c r="I55" s="6" t="b">
        <f ca="1">(DB_TBL_DATA_FIELDS[[#This Row],[FIELD_VALUE_RAW]]="")</f>
        <v>1</v>
      </c>
      <c r="J55" s="6" t="s">
        <v>9</v>
      </c>
      <c r="K55" s="8" t="b">
        <f ca="1">AND(IF(DB_TBL_DATA_FIELDS[[#This Row],[FIELD_VALID_CUSTOM_LOGIC]]="",TRUE,DB_TBL_DATA_FIELDS[[#This Row],[FIELD_VALID_CUSTOM_LOGIC]]),DB_TBL_DATA_FIELDS[[#This Row],[RANGE_VALIDATION_PASSED_FLAG]])</f>
        <v>1</v>
      </c>
      <c r="L55"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55" s="328">
        <f ca="1">IF(DB_TBL_DATA_FIELDS[[#This Row],[SHEET_REF_CALC]]="","",IF(DB_TBL_DATA_FIELDS[[#This Row],[FIELD_EMPTY_FLAG]],IF(NOT(DB_TBL_DATA_FIELDS[[#This Row],[FIELD_REQ_FLAG]]),-1,1),IF(NOT(DB_TBL_DATA_FIELDS[[#This Row],[FIELD_VALID_FLAG]]),0,2)))</f>
        <v>-1</v>
      </c>
      <c r="N55" s="8" t="str">
        <f ca="1">IFERROR(VLOOKUP(DB_TBL_DATA_FIELDS[[#This Row],[FIELD_STATUS_CODE]],DB_TBL_CONFIG_FIELDSTATUSCODES[#All],3,FALSE),"")</f>
        <v>Optional</v>
      </c>
      <c r="O55" s="8" t="str">
        <f ca="1">IFERROR(VLOOKUP(DB_TBL_DATA_FIELDS[[#This Row],[FIELD_STATUS_CODE]],DB_TBL_CONFIG_FIELDSTATUSCODES[#All],4,FALSE),"")</f>
        <v xml:space="preserve"> </v>
      </c>
      <c r="P55" s="8" t="b">
        <f>TRUE</f>
        <v>1</v>
      </c>
      <c r="Q55" s="8" t="b">
        <f>TRUE</f>
        <v>1</v>
      </c>
      <c r="R55" s="4" t="s">
        <v>9</v>
      </c>
      <c r="S55" s="8">
        <f ca="1">IF(DB_TBL_DATA_FIELDS[[#This Row],[RANGE_VALIDATION_FLAG]]="Text",LEN(DB_TBL_DATA_FIELDS[[#This Row],[FIELD_VALUE_RAW]]),IFERROR(VALUE(DB_TBL_DATA_FIELDS[[#This Row],[FIELD_VALUE_RAW]]),-1))</f>
        <v>0</v>
      </c>
      <c r="T55" s="8">
        <v>0</v>
      </c>
      <c r="U55" s="8">
        <v>250</v>
      </c>
      <c r="V55" s="8" t="b">
        <f ca="1">IF(NOT(DB_TBL_DATA_FIELDS[[#This Row],[RANGE_VALIDATION_ON_FLAG]]),TRUE,
AND(DB_TBL_DATA_FIELDS[[#This Row],[RANGE_VALUE_LEN]]&gt;=DB_TBL_DATA_FIELDS[[#This Row],[RANGE_VALIDATION_MIN]],DB_TBL_DATA_FIELDS[[#This Row],[RANGE_VALUE_LEN]]&lt;=DB_TBL_DATA_FIELDS[[#This Row],[RANGE_VALIDATION_MAX]]))</f>
        <v>1</v>
      </c>
      <c r="W55" s="7">
        <v>1</v>
      </c>
      <c r="X55" s="7">
        <f ca="1">IF(DB_TBL_DATA_FIELDS[[#This Row],[PCT_CALC_SHOW_STATUS_CODE]]=1,
DB_TBL_DATA_FIELDS[[#This Row],[FIELD_STATUS_CODE]],
IF(AND(DB_TBL_DATA_FIELDS[[#This Row],[PCT_CALC_SHOW_STATUS_CODE]]=2,DB_TBL_DATA_FIELDS[[#This Row],[FIELD_STATUS_CODE]]=0),
DB_TBL_DATA_FIELDS[[#This Row],[FIELD_STATUS_CODE]],
"")
)</f>
        <v>-1</v>
      </c>
      <c r="Y55" s="69"/>
      <c r="Z55" s="12" t="s">
        <v>2439</v>
      </c>
      <c r="AA55" s="12" t="s">
        <v>2430</v>
      </c>
      <c r="AB55" s="12"/>
      <c r="AC55" s="12"/>
      <c r="AD55" s="12"/>
      <c r="AE55" s="35"/>
    </row>
    <row r="56" spans="1:31" s="57" customFormat="1" ht="13.5" thickBot="1" x14ac:dyDescent="0.35">
      <c r="A56" s="10" t="s">
        <v>2771</v>
      </c>
      <c r="B56" s="7" t="str">
        <f>IFERROR(IF(FIND(DATA_EFORM_TYPE_CODE,DB_TBL_DATA_FIELDS[[#This Row],[APPLICABLE_EFORM_LIST]])&gt;0,DATA_EFORM_TYPE_CODE,""),"")</f>
        <v>AHEAD</v>
      </c>
      <c r="C56" s="4" t="s">
        <v>2447</v>
      </c>
      <c r="D56" s="4" t="b">
        <v>0</v>
      </c>
      <c r="E56" s="197" t="b">
        <f ca="1">AND(NOT($I$54),$H$54)</f>
        <v>0</v>
      </c>
      <c r="F56" s="6" t="s">
        <v>2454</v>
      </c>
      <c r="G56" s="34" t="str">
        <f ca="1">IFERROR(VLOOKUP(DB_TBL_DATA_FIELDS[[#This Row],[FIELD_ID]],INDIRECT(DB_TBL_DATA_FIELDS[[#This Row],[SHEET_REF_CALC]]&amp;"!A:B"),2,FALSE),"")</f>
        <v/>
      </c>
      <c r="H56" s="30" t="str">
        <f ca="1">IF(DB_TBL_DATA_FIELDS[[#This Row],[FIELD_EMPTY_FLAG]],"",AND(NOT($I$54),$H$54,DB_TBL_DATA_FIELDS[[#This Row],[FIELD_VALUE_RAW]]&gt;0))</f>
        <v/>
      </c>
      <c r="I56" s="6" t="b">
        <f ca="1">(DB_TBL_DATA_FIELDS[[#This Row],[FIELD_VALUE_RAW]]="")</f>
        <v>1</v>
      </c>
      <c r="J56" s="6" t="s">
        <v>40</v>
      </c>
      <c r="K56" s="8" t="b">
        <f ca="1">AND(IF(DB_TBL_DATA_FIELDS[[#This Row],[FIELD_VALID_CUSTOM_LOGIC]]="",TRUE,DB_TBL_DATA_FIELDS[[#This Row],[FIELD_VALID_CUSTOM_LOGIC]]),DB_TBL_DATA_FIELDS[[#This Row],[RANGE_VALIDATION_PASSED_FLAG]])</f>
        <v>0</v>
      </c>
      <c r="L56"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56" s="328">
        <f ca="1">IF(DB_TBL_DATA_FIELDS[[#This Row],[SHEET_REF_CALC]]="","",IF(DB_TBL_DATA_FIELDS[[#This Row],[FIELD_EMPTY_FLAG]],IF(NOT(DB_TBL_DATA_FIELDS[[#This Row],[FIELD_REQ_FLAG]]),-1,1),IF(NOT(DB_TBL_DATA_FIELDS[[#This Row],[FIELD_VALID_FLAG]]),0,2)))</f>
        <v>-1</v>
      </c>
      <c r="N56" s="8" t="str">
        <f ca="1">IFERROR(VLOOKUP(DB_TBL_DATA_FIELDS[[#This Row],[FIELD_STATUS_CODE]],DB_TBL_CONFIG_FIELDSTATUSCODES[#All],3,FALSE),"")</f>
        <v>Optional</v>
      </c>
      <c r="O56" s="8" t="str">
        <f ca="1">IFERROR(VLOOKUP(DB_TBL_DATA_FIELDS[[#This Row],[FIELD_STATUS_CODE]],DB_TBL_CONFIG_FIELDSTATUSCODES[#All],4,FALSE),"")</f>
        <v xml:space="preserve"> </v>
      </c>
      <c r="P56" s="8" t="b">
        <f>TRUE</f>
        <v>1</v>
      </c>
      <c r="Q56" s="8" t="b">
        <f>TRUE</f>
        <v>1</v>
      </c>
      <c r="R56" s="4" t="s">
        <v>40</v>
      </c>
      <c r="S56" s="8">
        <f ca="1">IF(DB_TBL_DATA_FIELDS[[#This Row],[RANGE_VALIDATION_FLAG]]="Text",LEN(DB_TBL_DATA_FIELDS[[#This Row],[FIELD_VALUE_RAW]]),IFERROR(VALUE(DB_TBL_DATA_FIELDS[[#This Row],[FIELD_VALUE_RAW]]),-1))</f>
        <v>-1</v>
      </c>
      <c r="T56" s="8">
        <v>0</v>
      </c>
      <c r="U56" s="8">
        <v>999999999</v>
      </c>
      <c r="V56" s="8" t="b">
        <f ca="1">IF(NOT(DB_TBL_DATA_FIELDS[[#This Row],[RANGE_VALIDATION_ON_FLAG]]),TRUE,
AND(DB_TBL_DATA_FIELDS[[#This Row],[RANGE_VALUE_LEN]]&gt;=DB_TBL_DATA_FIELDS[[#This Row],[RANGE_VALIDATION_MIN]],DB_TBL_DATA_FIELDS[[#This Row],[RANGE_VALUE_LEN]]&lt;=DB_TBL_DATA_FIELDS[[#This Row],[RANGE_VALIDATION_MAX]]))</f>
        <v>0</v>
      </c>
      <c r="W56" s="7">
        <v>1</v>
      </c>
      <c r="X56" s="7">
        <f ca="1">IF(DB_TBL_DATA_FIELDS[[#This Row],[PCT_CALC_SHOW_STATUS_CODE]]=1,
DB_TBL_DATA_FIELDS[[#This Row],[FIELD_STATUS_CODE]],
IF(AND(DB_TBL_DATA_FIELDS[[#This Row],[PCT_CALC_SHOW_STATUS_CODE]]=2,DB_TBL_DATA_FIELDS[[#This Row],[FIELD_STATUS_CODE]]=0),
DB_TBL_DATA_FIELDS[[#This Row],[FIELD_STATUS_CODE]],
"")
)</f>
        <v>-1</v>
      </c>
      <c r="Y56" s="69"/>
      <c r="Z56" s="12" t="s">
        <v>2439</v>
      </c>
      <c r="AA56" s="12" t="s">
        <v>2430</v>
      </c>
      <c r="AB56" s="12"/>
      <c r="AC56" s="12"/>
      <c r="AD56" s="12"/>
      <c r="AE56" s="35"/>
    </row>
    <row r="57" spans="1:31" ht="13.5" thickBot="1" x14ac:dyDescent="0.35">
      <c r="A57" s="62" t="s">
        <v>2771</v>
      </c>
      <c r="B57" s="58" t="str">
        <f>IFERROR(IF(FIND(DATA_EFORM_TYPE_CODE,DB_TBL_DATA_FIELDS[[#This Row],[APPLICABLE_EFORM_LIST]])&gt;0,DATA_EFORM_TYPE_CODE,""),"")</f>
        <v>AHEAD</v>
      </c>
      <c r="C57" s="57" t="s">
        <v>2448</v>
      </c>
      <c r="D57" s="57" t="b">
        <v>1</v>
      </c>
      <c r="E57" s="65" t="b">
        <v>0</v>
      </c>
      <c r="F57" s="61" t="s">
        <v>2459</v>
      </c>
      <c r="G57" s="64" t="str">
        <f ca="1">IF(G41&lt;&gt;TRUE,"",
CONCATENATE("1) ",G42,": ",G43," [",TEXT(G44,"$#,##0.00"),"]")&amp;
IF(H45=TRUE,CONCATENATE(CHAR(10),"2) ",G45,": ",G46," [",TEXT(G47,"$#,##0.00"),"]"),"")&amp;
IF(H48=TRUE,CONCATENATE(CHAR(10),"3) ",G48,": ",G49," [",TEXT(G50,"$#,##0.00"),"]"),"")&amp;
IF(H51=TRUE,CONCATENATE(CHAR(10),"4) ",G51,": ",G52," [",TEXT(G53,"$#,##0.00"),"]"),"")&amp;
IF(H54=TRUE,CONCATENATE(CHAR(10),"5) ",G54,": ",G55," [",TEXT(G56,"$#,##0.00"),"]"),""))</f>
        <v/>
      </c>
      <c r="H57" s="72"/>
      <c r="I57" s="61" t="b">
        <f ca="1">(DB_TBL_DATA_FIELDS[[#This Row],[FIELD_VALUE_RAW]]="")</f>
        <v>1</v>
      </c>
      <c r="J57" s="61" t="s">
        <v>9</v>
      </c>
      <c r="K57" s="58" t="b">
        <f ca="1">AND(IF(DB_TBL_DATA_FIELDS[[#This Row],[FIELD_VALID_CUSTOM_LOGIC]]="",TRUE,DB_TBL_DATA_FIELDS[[#This Row],[FIELD_VALID_CUSTOM_LOGIC]]),DB_TBL_DATA_FIELDS[[#This Row],[RANGE_VALIDATION_PASSED_FLAG]])</f>
        <v>1</v>
      </c>
      <c r="L57" s="6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57" s="329">
        <f ca="1">IF(DB_TBL_DATA_FIELDS[[#This Row],[SHEET_REF_CALC]]="","",IF(DB_TBL_DATA_FIELDS[[#This Row],[FIELD_EMPTY_FLAG]],IF(NOT(DB_TBL_DATA_FIELDS[[#This Row],[FIELD_REQ_FLAG]]),-1,1),IF(NOT(DB_TBL_DATA_FIELDS[[#This Row],[FIELD_VALID_FLAG]]),0,2)))</f>
        <v>-1</v>
      </c>
      <c r="N57" s="58" t="str">
        <f ca="1">IFERROR(VLOOKUP(DB_TBL_DATA_FIELDS[[#This Row],[FIELD_STATUS_CODE]],DB_TBL_CONFIG_FIELDSTATUSCODES[#All],3,FALSE),"")</f>
        <v>Optional</v>
      </c>
      <c r="O57" s="58" t="str">
        <f ca="1">IFERROR(VLOOKUP(DB_TBL_DATA_FIELDS[[#This Row],[FIELD_STATUS_CODE]],DB_TBL_CONFIG_FIELDSTATUSCODES[#All],4,FALSE),"")</f>
        <v xml:space="preserve"> </v>
      </c>
      <c r="P57" s="58" t="b">
        <f>TRUE</f>
        <v>1</v>
      </c>
      <c r="Q57" s="58" t="b">
        <f>TRUE</f>
        <v>1</v>
      </c>
      <c r="R57" s="57" t="s">
        <v>9</v>
      </c>
      <c r="S57" s="58">
        <f ca="1">IF(DB_TBL_DATA_FIELDS[[#This Row],[RANGE_VALIDATION_FLAG]]="Text",LEN(DB_TBL_DATA_FIELDS[[#This Row],[FIELD_VALUE_RAW]]),IFERROR(VALUE(DB_TBL_DATA_FIELDS[[#This Row],[FIELD_VALUE_RAW]]),-1))</f>
        <v>0</v>
      </c>
      <c r="T57" s="58">
        <v>0</v>
      </c>
      <c r="U57" s="58">
        <v>1500</v>
      </c>
      <c r="V57" s="58" t="b">
        <f ca="1">IF(NOT(DB_TBL_DATA_FIELDS[[#This Row],[RANGE_VALIDATION_ON_FLAG]]),TRUE,
AND(DB_TBL_DATA_FIELDS[[#This Row],[RANGE_VALUE_LEN]]&gt;=DB_TBL_DATA_FIELDS[[#This Row],[RANGE_VALIDATION_MIN]],DB_TBL_DATA_FIELDS[[#This Row],[RANGE_VALUE_LEN]]&lt;=DB_TBL_DATA_FIELDS[[#This Row],[RANGE_VALIDATION_MAX]]))</f>
        <v>1</v>
      </c>
      <c r="W57" s="58">
        <v>0</v>
      </c>
      <c r="X57" s="58" t="str">
        <f ca="1">IF(DB_TBL_DATA_FIELDS[[#This Row],[PCT_CALC_SHOW_STATUS_CODE]]=1,
DB_TBL_DATA_FIELDS[[#This Row],[FIELD_STATUS_CODE]],
IF(AND(DB_TBL_DATA_FIELDS[[#This Row],[PCT_CALC_SHOW_STATUS_CODE]]=2,DB_TBL_DATA_FIELDS[[#This Row],[FIELD_STATUS_CODE]]=0),
DB_TBL_DATA_FIELDS[[#This Row],[FIELD_STATUS_CODE]],
"")
)</f>
        <v/>
      </c>
      <c r="Y57" s="68"/>
      <c r="Z57" s="62" t="s">
        <v>2439</v>
      </c>
      <c r="AA57" s="62" t="s">
        <v>2430</v>
      </c>
      <c r="AB57" s="62" t="s">
        <v>2448</v>
      </c>
      <c r="AC57" s="62" t="s">
        <v>2657</v>
      </c>
      <c r="AD57" s="62"/>
      <c r="AE57" s="68"/>
    </row>
    <row r="58" spans="1:31" x14ac:dyDescent="0.3">
      <c r="A58" s="10" t="s">
        <v>2790</v>
      </c>
      <c r="B58" s="7" t="str">
        <f>IFERROR(IF(FIND(DATA_EFORM_TYPE_CODE,DB_TBL_DATA_FIELDS[[#This Row],[APPLICABLE_EFORM_LIST]])&gt;0,DATA_EFORM_TYPE_CODE,""),"")</f>
        <v>AHEAD</v>
      </c>
      <c r="C58" s="4" t="s">
        <v>2461</v>
      </c>
      <c r="D58" s="4" t="b">
        <v>1</v>
      </c>
      <c r="E58" s="196" t="b">
        <v>1</v>
      </c>
      <c r="F58" s="6" t="s">
        <v>2463</v>
      </c>
      <c r="G58" s="34" t="str">
        <f ca="1">IFERROR(VLOOKUP(DB_TBL_DATA_FIELDS[[#This Row],[FIELD_ID]],INDIRECT(DB_TBL_DATA_FIELDS[[#This Row],[SHEET_REF_CALC]]&amp;"!A:B"),2,FALSE),"")</f>
        <v/>
      </c>
      <c r="H58" s="34"/>
      <c r="I58" s="6" t="b">
        <f ca="1">(DB_TBL_DATA_FIELDS[[#This Row],[FIELD_VALUE_RAW]]="")</f>
        <v>1</v>
      </c>
      <c r="J58" s="6" t="s">
        <v>9</v>
      </c>
      <c r="K58" s="8" t="b">
        <f ca="1">AND(IF(DB_TBL_DATA_FIELDS[[#This Row],[FIELD_VALID_CUSTOM_LOGIC]]="",TRUE,DB_TBL_DATA_FIELDS[[#This Row],[FIELD_VALID_CUSTOM_LOGIC]]),DB_TBL_DATA_FIELDS[[#This Row],[RANGE_VALIDATION_PASSED_FLAG]])</f>
        <v>1</v>
      </c>
      <c r="L58"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58" s="328">
        <f ca="1">IF(DB_TBL_DATA_FIELDS[[#This Row],[SHEET_REF_CALC]]="","",IF(DB_TBL_DATA_FIELDS[[#This Row],[FIELD_EMPTY_FLAG]],IF(NOT(DB_TBL_DATA_FIELDS[[#This Row],[FIELD_REQ_FLAG]]),-1,1),IF(NOT(DB_TBL_DATA_FIELDS[[#This Row],[FIELD_VALID_FLAG]]),0,2)))</f>
        <v>1</v>
      </c>
      <c r="N58" s="8" t="str">
        <f ca="1">IFERROR(VLOOKUP(DB_TBL_DATA_FIELDS[[#This Row],[FIELD_STATUS_CODE]],DB_TBL_CONFIG_FIELDSTATUSCODES[#All],3,FALSE),"")</f>
        <v>Required</v>
      </c>
      <c r="O58" s="8" t="str">
        <f ca="1">IFERROR(VLOOKUP(DB_TBL_DATA_FIELDS[[#This Row],[FIELD_STATUS_CODE]],DB_TBL_CONFIG_FIELDSTATUSCODES[#All],4,FALSE),"")</f>
        <v>i</v>
      </c>
      <c r="P58" s="8" t="b">
        <f>TRUE</f>
        <v>1</v>
      </c>
      <c r="Q58" s="8" t="b">
        <f>TRUE</f>
        <v>1</v>
      </c>
      <c r="R58" s="4" t="s">
        <v>9</v>
      </c>
      <c r="S58" s="8">
        <f ca="1">IF(DB_TBL_DATA_FIELDS[[#This Row],[RANGE_VALIDATION_FLAG]]="Text",LEN(DB_TBL_DATA_FIELDS[[#This Row],[FIELD_VALUE_RAW]]),IFERROR(VALUE(DB_TBL_DATA_FIELDS[[#This Row],[FIELD_VALUE_RAW]]),-1))</f>
        <v>0</v>
      </c>
      <c r="T58" s="8">
        <v>0</v>
      </c>
      <c r="U58" s="73">
        <f>CONFIG_CHAR_LIMIT_LARGE</f>
        <v>3000</v>
      </c>
      <c r="V58" s="8" t="b">
        <f ca="1">IF(NOT(DB_TBL_DATA_FIELDS[[#This Row],[RANGE_VALIDATION_ON_FLAG]]),TRUE,
AND(DB_TBL_DATA_FIELDS[[#This Row],[RANGE_VALUE_LEN]]&gt;=DB_TBL_DATA_FIELDS[[#This Row],[RANGE_VALIDATION_MIN]],DB_TBL_DATA_FIELDS[[#This Row],[RANGE_VALUE_LEN]]&lt;=DB_TBL_DATA_FIELDS[[#This Row],[RANGE_VALIDATION_MAX]]))</f>
        <v>1</v>
      </c>
      <c r="W58" s="7">
        <v>1</v>
      </c>
      <c r="X58" s="7">
        <f ca="1">IF(DB_TBL_DATA_FIELDS[[#This Row],[PCT_CALC_SHOW_STATUS_CODE]]=1,
DB_TBL_DATA_FIELDS[[#This Row],[FIELD_STATUS_CODE]],
IF(AND(DB_TBL_DATA_FIELDS[[#This Row],[PCT_CALC_SHOW_STATUS_CODE]]=2,DB_TBL_DATA_FIELDS[[#This Row],[FIELD_STATUS_CODE]]=0),
DB_TBL_DATA_FIELDS[[#This Row],[FIELD_STATUS_CODE]],
"")
)</f>
        <v>1</v>
      </c>
      <c r="Y58" s="69"/>
      <c r="Z58" s="12" t="s">
        <v>2285</v>
      </c>
      <c r="AA58" s="12" t="s">
        <v>2460</v>
      </c>
      <c r="AB58" s="12"/>
      <c r="AC58" s="12"/>
      <c r="AD58" s="12"/>
      <c r="AE58" s="35"/>
    </row>
    <row r="59" spans="1:31" x14ac:dyDescent="0.3">
      <c r="A59" s="10" t="s">
        <v>2790</v>
      </c>
      <c r="B59" s="7" t="str">
        <f>IFERROR(IF(FIND(DATA_EFORM_TYPE_CODE,DB_TBL_DATA_FIELDS[[#This Row],[APPLICABLE_EFORM_LIST]])&gt;0,DATA_EFORM_TYPE_CODE,""),"")</f>
        <v>AHEAD</v>
      </c>
      <c r="C59" s="4" t="s">
        <v>2462</v>
      </c>
      <c r="D59" s="4" t="b">
        <v>1</v>
      </c>
      <c r="E59" s="196" t="b">
        <v>1</v>
      </c>
      <c r="F59" s="6" t="s">
        <v>2464</v>
      </c>
      <c r="G59" s="34" t="str">
        <f ca="1">IFERROR(VLOOKUP(DB_TBL_DATA_FIELDS[[#This Row],[FIELD_ID]],INDIRECT(DB_TBL_DATA_FIELDS[[#This Row],[SHEET_REF_CALC]]&amp;"!A:B"),2,FALSE),"")</f>
        <v/>
      </c>
      <c r="H59" s="34"/>
      <c r="I59" s="6" t="b">
        <f ca="1">(DB_TBL_DATA_FIELDS[[#This Row],[FIELD_VALUE_RAW]]="")</f>
        <v>1</v>
      </c>
      <c r="J59" s="6" t="s">
        <v>9</v>
      </c>
      <c r="K59" s="8" t="b">
        <f ca="1">AND(IF(DB_TBL_DATA_FIELDS[[#This Row],[FIELD_VALID_CUSTOM_LOGIC]]="",TRUE,DB_TBL_DATA_FIELDS[[#This Row],[FIELD_VALID_CUSTOM_LOGIC]]),DB_TBL_DATA_FIELDS[[#This Row],[RANGE_VALIDATION_PASSED_FLAG]])</f>
        <v>1</v>
      </c>
      <c r="L59"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59" s="328">
        <f ca="1">IF(DB_TBL_DATA_FIELDS[[#This Row],[SHEET_REF_CALC]]="","",IF(DB_TBL_DATA_FIELDS[[#This Row],[FIELD_EMPTY_FLAG]],IF(NOT(DB_TBL_DATA_FIELDS[[#This Row],[FIELD_REQ_FLAG]]),-1,1),IF(NOT(DB_TBL_DATA_FIELDS[[#This Row],[FIELD_VALID_FLAG]]),0,2)))</f>
        <v>1</v>
      </c>
      <c r="N59" s="8" t="str">
        <f ca="1">IFERROR(VLOOKUP(DB_TBL_DATA_FIELDS[[#This Row],[FIELD_STATUS_CODE]],DB_TBL_CONFIG_FIELDSTATUSCODES[#All],3,FALSE),"")</f>
        <v>Required</v>
      </c>
      <c r="O59" s="8" t="str">
        <f ca="1">IFERROR(VLOOKUP(DB_TBL_DATA_FIELDS[[#This Row],[FIELD_STATUS_CODE]],DB_TBL_CONFIG_FIELDSTATUSCODES[#All],4,FALSE),"")</f>
        <v>i</v>
      </c>
      <c r="P59" s="8" t="b">
        <f>TRUE</f>
        <v>1</v>
      </c>
      <c r="Q59" s="8" t="b">
        <f>TRUE</f>
        <v>1</v>
      </c>
      <c r="R59" s="4" t="s">
        <v>9</v>
      </c>
      <c r="S59" s="8">
        <f ca="1">IF(DB_TBL_DATA_FIELDS[[#This Row],[RANGE_VALIDATION_FLAG]]="Text",LEN(DB_TBL_DATA_FIELDS[[#This Row],[FIELD_VALUE_RAW]]),IFERROR(VALUE(DB_TBL_DATA_FIELDS[[#This Row],[FIELD_VALUE_RAW]]),-1))</f>
        <v>0</v>
      </c>
      <c r="T59" s="8">
        <v>0</v>
      </c>
      <c r="U59" s="8">
        <v>50</v>
      </c>
      <c r="V59" s="8" t="b">
        <f ca="1">IF(NOT(DB_TBL_DATA_FIELDS[[#This Row],[RANGE_VALIDATION_ON_FLAG]]),TRUE,
AND(DB_TBL_DATA_FIELDS[[#This Row],[RANGE_VALUE_LEN]]&gt;=DB_TBL_DATA_FIELDS[[#This Row],[RANGE_VALIDATION_MIN]],DB_TBL_DATA_FIELDS[[#This Row],[RANGE_VALUE_LEN]]&lt;=DB_TBL_DATA_FIELDS[[#This Row],[RANGE_VALIDATION_MAX]]))</f>
        <v>1</v>
      </c>
      <c r="W59" s="7">
        <v>1</v>
      </c>
      <c r="X59" s="7">
        <f ca="1">IF(DB_TBL_DATA_FIELDS[[#This Row],[PCT_CALC_SHOW_STATUS_CODE]]=1,
DB_TBL_DATA_FIELDS[[#This Row],[FIELD_STATUS_CODE]],
IF(AND(DB_TBL_DATA_FIELDS[[#This Row],[PCT_CALC_SHOW_STATUS_CODE]]=2,DB_TBL_DATA_FIELDS[[#This Row],[FIELD_STATUS_CODE]]=0),
DB_TBL_DATA_FIELDS[[#This Row],[FIELD_STATUS_CODE]],
"")
)</f>
        <v>1</v>
      </c>
      <c r="Y59" s="69"/>
      <c r="Z59" s="12" t="s">
        <v>2286</v>
      </c>
      <c r="AA59" s="12" t="s">
        <v>2460</v>
      </c>
      <c r="AB59" s="12" t="s">
        <v>2658</v>
      </c>
      <c r="AC59" s="12" t="s">
        <v>2654</v>
      </c>
      <c r="AD59" s="12" t="s">
        <v>2659</v>
      </c>
      <c r="AE59" s="35"/>
    </row>
    <row r="60" spans="1:31" x14ac:dyDescent="0.3">
      <c r="A60" s="10" t="s">
        <v>2790</v>
      </c>
      <c r="B60" s="7" t="str">
        <f>IFERROR(IF(FIND(DATA_EFORM_TYPE_CODE,DB_TBL_DATA_FIELDS[[#This Row],[APPLICABLE_EFORM_LIST]])&gt;0,DATA_EFORM_TYPE_CODE,""),"")</f>
        <v>AHEAD</v>
      </c>
      <c r="C60" s="4" t="s">
        <v>2465</v>
      </c>
      <c r="D60" s="4" t="b">
        <v>1</v>
      </c>
      <c r="E60" s="197" t="b">
        <f ca="1">IF(PROJECT_TYPE_SELECTION=PROJECT_TYPE_OTHERECONDEV,TRUE,FALSE)</f>
        <v>0</v>
      </c>
      <c r="F60" s="6" t="s">
        <v>2466</v>
      </c>
      <c r="G60" s="34" t="str">
        <f ca="1">IFERROR(VLOOKUP(DB_TBL_DATA_FIELDS[[#This Row],[FIELD_ID]],INDIRECT(DB_TBL_DATA_FIELDS[[#This Row],[SHEET_REF_CALC]]&amp;"!A:B"),2,FALSE),"")</f>
        <v/>
      </c>
      <c r="H60" s="30" t="str">
        <f ca="1">IF(DB_TBL_DATA_FIELDS[[#This Row],[FIELD_EMPTY_FLAG]],"",DB_TBL_DATA_FIELDS[[#This Row],[FIELD_REQ_FLAG]])</f>
        <v/>
      </c>
      <c r="I60" s="6" t="b">
        <f ca="1">(DB_TBL_DATA_FIELDS[[#This Row],[FIELD_VALUE_RAW]]="")</f>
        <v>1</v>
      </c>
      <c r="J60" s="6" t="s">
        <v>9</v>
      </c>
      <c r="K60" s="8" t="b">
        <f ca="1">AND(IF(DB_TBL_DATA_FIELDS[[#This Row],[FIELD_VALID_CUSTOM_LOGIC]]="",TRUE,DB_TBL_DATA_FIELDS[[#This Row],[FIELD_VALID_CUSTOM_LOGIC]]),DB_TBL_DATA_FIELDS[[#This Row],[RANGE_VALIDATION_PASSED_FLAG]])</f>
        <v>1</v>
      </c>
      <c r="L60"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60" s="328">
        <f ca="1">IF(DB_TBL_DATA_FIELDS[[#This Row],[SHEET_REF_CALC]]="","",IF(DB_TBL_DATA_FIELDS[[#This Row],[FIELD_EMPTY_FLAG]],IF(NOT(DB_TBL_DATA_FIELDS[[#This Row],[FIELD_REQ_FLAG]]),-1,1),IF(NOT(DB_TBL_DATA_FIELDS[[#This Row],[FIELD_VALID_FLAG]]),0,2)))</f>
        <v>-1</v>
      </c>
      <c r="N60" s="8" t="str">
        <f ca="1">IFERROR(VLOOKUP(DB_TBL_DATA_FIELDS[[#This Row],[FIELD_STATUS_CODE]],DB_TBL_CONFIG_FIELDSTATUSCODES[#All],3,FALSE),"")</f>
        <v>Optional</v>
      </c>
      <c r="O60" s="8" t="str">
        <f ca="1">IFERROR(VLOOKUP(DB_TBL_DATA_FIELDS[[#This Row],[FIELD_STATUS_CODE]],DB_TBL_CONFIG_FIELDSTATUSCODES[#All],4,FALSE),"")</f>
        <v xml:space="preserve"> </v>
      </c>
      <c r="P60" s="8" t="b">
        <f>TRUE</f>
        <v>1</v>
      </c>
      <c r="Q60" s="8" t="b">
        <f>TRUE</f>
        <v>1</v>
      </c>
      <c r="R60" s="4" t="s">
        <v>9</v>
      </c>
      <c r="S60" s="8">
        <f ca="1">IF(DB_TBL_DATA_FIELDS[[#This Row],[RANGE_VALIDATION_FLAG]]="Text",LEN(DB_TBL_DATA_FIELDS[[#This Row],[FIELD_VALUE_RAW]]),IFERROR(VALUE(DB_TBL_DATA_FIELDS[[#This Row],[FIELD_VALUE_RAW]]),-1))</f>
        <v>0</v>
      </c>
      <c r="T60" s="8">
        <v>0</v>
      </c>
      <c r="U60" s="8">
        <v>1500</v>
      </c>
      <c r="V60" s="8" t="b">
        <f ca="1">IF(NOT(DB_TBL_DATA_FIELDS[[#This Row],[RANGE_VALIDATION_ON_FLAG]]),TRUE,
AND(DB_TBL_DATA_FIELDS[[#This Row],[RANGE_VALUE_LEN]]&gt;=DB_TBL_DATA_FIELDS[[#This Row],[RANGE_VALIDATION_MIN]],DB_TBL_DATA_FIELDS[[#This Row],[RANGE_VALUE_LEN]]&lt;=DB_TBL_DATA_FIELDS[[#This Row],[RANGE_VALIDATION_MAX]]))</f>
        <v>1</v>
      </c>
      <c r="W60" s="7">
        <v>1</v>
      </c>
      <c r="X60" s="7">
        <f ca="1">IF(DB_TBL_DATA_FIELDS[[#This Row],[PCT_CALC_SHOW_STATUS_CODE]]=1,
DB_TBL_DATA_FIELDS[[#This Row],[FIELD_STATUS_CODE]],
IF(AND(DB_TBL_DATA_FIELDS[[#This Row],[PCT_CALC_SHOW_STATUS_CODE]]=2,DB_TBL_DATA_FIELDS[[#This Row],[FIELD_STATUS_CODE]]=0),
DB_TBL_DATA_FIELDS[[#This Row],[FIELD_STATUS_CODE]],
"")
)</f>
        <v>-1</v>
      </c>
      <c r="Y60" s="69"/>
      <c r="Z60" s="12" t="s">
        <v>2287</v>
      </c>
      <c r="AA60" s="12" t="s">
        <v>2460</v>
      </c>
      <c r="AB60" s="12" t="s">
        <v>2465</v>
      </c>
      <c r="AC60" s="12" t="s">
        <v>2657</v>
      </c>
      <c r="AD60" s="12"/>
      <c r="AE60" s="35"/>
    </row>
    <row r="61" spans="1:31" x14ac:dyDescent="0.3">
      <c r="A61" s="321" t="s">
        <v>2771</v>
      </c>
      <c r="B61" s="321" t="str">
        <f>IFERROR(IF(FIND(DATA_EFORM_TYPE_CODE,DB_TBL_DATA_FIELDS[[#This Row],[APPLICABLE_EFORM_LIST]])&gt;0,DATA_EFORM_TYPE_CODE,""),"")</f>
        <v>AHEAD</v>
      </c>
      <c r="C61" s="203" t="s">
        <v>2799</v>
      </c>
      <c r="D61" s="203" t="b">
        <v>1</v>
      </c>
      <c r="E61" s="204" t="b">
        <v>0</v>
      </c>
      <c r="F61" s="205" t="s">
        <v>2800</v>
      </c>
      <c r="G61" s="206" t="str">
        <f ca="1">IFERROR(VLOOKUP(DB_TBL_DATA_FIELDS[[#This Row],[FIELD_ID]],INDIRECT(DB_TBL_DATA_FIELDS[[#This Row],[SHEET_REF_CALC]]&amp;"!A:B"),2,FALSE),"")</f>
        <v/>
      </c>
      <c r="H61" s="206" t="str">
        <f ca="1">IF(DB_TBL_DATA_FIELDS[[#This Row],[FIELD_EMPTY_FLAG]],"",DB_TBL_DATA_FIELDS[[#This Row],[FIELD_REQ_FLAG]])</f>
        <v/>
      </c>
      <c r="I61" s="205" t="b">
        <f ca="1">(DB_TBL_DATA_FIELDS[[#This Row],[FIELD_VALUE_RAW]]="")</f>
        <v>1</v>
      </c>
      <c r="J61" s="205" t="s">
        <v>9</v>
      </c>
      <c r="K61" s="207" t="b">
        <f ca="1">AND(IF(DB_TBL_DATA_FIELDS[[#This Row],[FIELD_VALID_CUSTOM_LOGIC]]="",TRUE,DB_TBL_DATA_FIELDS[[#This Row],[FIELD_VALID_CUSTOM_LOGIC]]),DB_TBL_DATA_FIELDS[[#This Row],[RANGE_VALIDATION_PASSED_FLAG]])</f>
        <v>1</v>
      </c>
      <c r="L61" s="206"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61" s="332">
        <f ca="1">IF(DB_TBL_DATA_FIELDS[[#This Row],[SHEET_REF_CALC]]="","",IF(DB_TBL_DATA_FIELDS[[#This Row],[FIELD_EMPTY_FLAG]],IF(NOT(DB_TBL_DATA_FIELDS[[#This Row],[FIELD_REQ_FLAG]]),-1,1),IF(NOT(DB_TBL_DATA_FIELDS[[#This Row],[FIELD_VALID_FLAG]]),0,2)))</f>
        <v>-1</v>
      </c>
      <c r="N61" s="207" t="str">
        <f ca="1">IFERROR(VLOOKUP(DB_TBL_DATA_FIELDS[[#This Row],[FIELD_STATUS_CODE]],DB_TBL_CONFIG_FIELDSTATUSCODES[#All],3,FALSE),"")</f>
        <v>Optional</v>
      </c>
      <c r="O61" s="207" t="str">
        <f ca="1">IFERROR(VLOOKUP(DB_TBL_DATA_FIELDS[[#This Row],[FIELD_STATUS_CODE]],DB_TBL_CONFIG_FIELDSTATUSCODES[#All],4,FALSE),"")</f>
        <v xml:space="preserve"> </v>
      </c>
      <c r="P61" s="207" t="b">
        <f>TRUE</f>
        <v>1</v>
      </c>
      <c r="Q61" s="207" t="b">
        <f>TRUE</f>
        <v>1</v>
      </c>
      <c r="R61" s="203" t="s">
        <v>9</v>
      </c>
      <c r="S61" s="207">
        <f ca="1">IF(DB_TBL_DATA_FIELDS[[#This Row],[RANGE_VALIDATION_FLAG]]="Text",LEN(DB_TBL_DATA_FIELDS[[#This Row],[FIELD_VALUE_RAW]]),IFERROR(VALUE(DB_TBL_DATA_FIELDS[[#This Row],[FIELD_VALUE_RAW]]),-1))</f>
        <v>0</v>
      </c>
      <c r="T61" s="207">
        <v>0</v>
      </c>
      <c r="U61" s="207">
        <f>CONFIG_CHAR_LIMIT_SMALL</f>
        <v>1000</v>
      </c>
      <c r="V61" s="207" t="b">
        <f ca="1">IF(NOT(DB_TBL_DATA_FIELDS[[#This Row],[RANGE_VALIDATION_ON_FLAG]]),TRUE,
AND(DB_TBL_DATA_FIELDS[[#This Row],[RANGE_VALUE_LEN]]&gt;=DB_TBL_DATA_FIELDS[[#This Row],[RANGE_VALIDATION_MIN]],DB_TBL_DATA_FIELDS[[#This Row],[RANGE_VALUE_LEN]]&lt;=DB_TBL_DATA_FIELDS[[#This Row],[RANGE_VALIDATION_MAX]]))</f>
        <v>1</v>
      </c>
      <c r="W61" s="202">
        <v>1</v>
      </c>
      <c r="X61" s="202">
        <f ca="1">IF(DB_TBL_DATA_FIELDS[[#This Row],[PCT_CALC_SHOW_STATUS_CODE]]=1,
DB_TBL_DATA_FIELDS[[#This Row],[FIELD_STATUS_CODE]],
IF(AND(DB_TBL_DATA_FIELDS[[#This Row],[PCT_CALC_SHOW_STATUS_CODE]]=2,DB_TBL_DATA_FIELDS[[#This Row],[FIELD_STATUS_CODE]]=0),
DB_TBL_DATA_FIELDS[[#This Row],[FIELD_STATUS_CODE]],
"")
)</f>
        <v>-1</v>
      </c>
      <c r="Y61" s="202"/>
      <c r="Z61" s="206" t="s">
        <v>2798</v>
      </c>
      <c r="AA61" s="206" t="s">
        <v>2460</v>
      </c>
      <c r="AB61" s="206" t="s">
        <v>171</v>
      </c>
      <c r="AC61" s="206" t="s">
        <v>171</v>
      </c>
      <c r="AD61" s="206"/>
      <c r="AE61" s="207" t="s">
        <v>2837</v>
      </c>
    </row>
    <row r="62" spans="1:31" x14ac:dyDescent="0.3">
      <c r="A62" s="10" t="s">
        <v>2790</v>
      </c>
      <c r="B62" s="7" t="str">
        <f>IFERROR(IF(FIND(DATA_EFORM_TYPE_CODE,DB_TBL_DATA_FIELDS[[#This Row],[APPLICABLE_EFORM_LIST]])&gt;0,DATA_EFORM_TYPE_CODE,""),"")</f>
        <v>AHEAD</v>
      </c>
      <c r="C62" s="4" t="s">
        <v>2467</v>
      </c>
      <c r="D62" s="4" t="b">
        <v>1</v>
      </c>
      <c r="E62" s="196" t="b">
        <v>1</v>
      </c>
      <c r="F62" s="6" t="s">
        <v>2468</v>
      </c>
      <c r="G62" s="34" t="str">
        <f ca="1">IFERROR(VLOOKUP(DB_TBL_DATA_FIELDS[[#This Row],[FIELD_ID]],INDIRECT(DB_TBL_DATA_FIELDS[[#This Row],[SHEET_REF_CALC]]&amp;"!A:B"),2,FALSE),"")</f>
        <v/>
      </c>
      <c r="H62" s="34"/>
      <c r="I62" s="6" t="b">
        <f ca="1">(DB_TBL_DATA_FIELDS[[#This Row],[FIELD_VALUE_RAW]]="")</f>
        <v>1</v>
      </c>
      <c r="J62" s="6" t="s">
        <v>168</v>
      </c>
      <c r="K62" s="8" t="b">
        <f>AND(IF(DB_TBL_DATA_FIELDS[[#This Row],[FIELD_VALID_CUSTOM_LOGIC]]="",TRUE,DB_TBL_DATA_FIELDS[[#This Row],[FIELD_VALID_CUSTOM_LOGIC]]),DB_TBL_DATA_FIELDS[[#This Row],[RANGE_VALIDATION_PASSED_FLAG]])</f>
        <v>1</v>
      </c>
      <c r="L62"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62" s="328">
        <f ca="1">IF(DB_TBL_DATA_FIELDS[[#This Row],[SHEET_REF_CALC]]="","",IF(DB_TBL_DATA_FIELDS[[#This Row],[FIELD_EMPTY_FLAG]],IF(NOT(DB_TBL_DATA_FIELDS[[#This Row],[FIELD_REQ_FLAG]]),-1,1),IF(NOT(DB_TBL_DATA_FIELDS[[#This Row],[FIELD_VALID_FLAG]]),0,2)))</f>
        <v>1</v>
      </c>
      <c r="N62" s="8" t="str">
        <f ca="1">IFERROR(VLOOKUP(DB_TBL_DATA_FIELDS[[#This Row],[FIELD_STATUS_CODE]],DB_TBL_CONFIG_FIELDSTATUSCODES[#All],3,FALSE),"")</f>
        <v>Required</v>
      </c>
      <c r="O62" s="8" t="str">
        <f ca="1">IFERROR(VLOOKUP(DB_TBL_DATA_FIELDS[[#This Row],[FIELD_STATUS_CODE]],DB_TBL_CONFIG_FIELDSTATUSCODES[#All],4,FALSE),"")</f>
        <v>i</v>
      </c>
      <c r="P62" s="8" t="b">
        <f>TRUE</f>
        <v>1</v>
      </c>
      <c r="Q62" s="8" t="b">
        <v>0</v>
      </c>
      <c r="R62" s="4"/>
      <c r="S62" s="8">
        <f ca="1">IF(DB_TBL_DATA_FIELDS[[#This Row],[RANGE_VALIDATION_FLAG]]="Text",LEN(DB_TBL_DATA_FIELDS[[#This Row],[FIELD_VALUE_RAW]]),IFERROR(VALUE(DB_TBL_DATA_FIELDS[[#This Row],[FIELD_VALUE_RAW]]),-1))</f>
        <v>-1</v>
      </c>
      <c r="T62" s="8"/>
      <c r="U62" s="8"/>
      <c r="V62" s="8" t="b">
        <f>IF(NOT(DB_TBL_DATA_FIELDS[[#This Row],[RANGE_VALIDATION_ON_FLAG]]),TRUE,
AND(DB_TBL_DATA_FIELDS[[#This Row],[RANGE_VALUE_LEN]]&gt;=DB_TBL_DATA_FIELDS[[#This Row],[RANGE_VALIDATION_MIN]],DB_TBL_DATA_FIELDS[[#This Row],[RANGE_VALUE_LEN]]&lt;=DB_TBL_DATA_FIELDS[[#This Row],[RANGE_VALIDATION_MAX]]))</f>
        <v>1</v>
      </c>
      <c r="W62" s="7">
        <v>1</v>
      </c>
      <c r="X62" s="7">
        <f ca="1">IF(DB_TBL_DATA_FIELDS[[#This Row],[PCT_CALC_SHOW_STATUS_CODE]]=1,
DB_TBL_DATA_FIELDS[[#This Row],[FIELD_STATUS_CODE]],
IF(AND(DB_TBL_DATA_FIELDS[[#This Row],[PCT_CALC_SHOW_STATUS_CODE]]=2,DB_TBL_DATA_FIELDS[[#This Row],[FIELD_STATUS_CODE]]=0),
DB_TBL_DATA_FIELDS[[#This Row],[FIELD_STATUS_CODE]],
"")
)</f>
        <v>1</v>
      </c>
      <c r="Y62" s="69"/>
      <c r="Z62" s="12" t="s">
        <v>2288</v>
      </c>
      <c r="AA62" s="12" t="s">
        <v>2460</v>
      </c>
      <c r="AB62" s="12" t="s">
        <v>2467</v>
      </c>
      <c r="AC62" s="12" t="s">
        <v>2656</v>
      </c>
      <c r="AD62" s="12"/>
      <c r="AE62" s="35"/>
    </row>
    <row r="63" spans="1:31" x14ac:dyDescent="0.3">
      <c r="A63" s="10" t="s">
        <v>2790</v>
      </c>
      <c r="B63" s="7" t="str">
        <f>IFERROR(IF(FIND(DATA_EFORM_TYPE_CODE,DB_TBL_DATA_FIELDS[[#This Row],[APPLICABLE_EFORM_LIST]])&gt;0,DATA_EFORM_TYPE_CODE,""),"")</f>
        <v>AHEAD</v>
      </c>
      <c r="C63" s="217" t="s">
        <v>2678</v>
      </c>
      <c r="D63" s="217" t="b">
        <v>0</v>
      </c>
      <c r="E63" s="42" t="b">
        <f ca="1">IF(G62=TRUE,TRUE,FALSE)</f>
        <v>0</v>
      </c>
      <c r="F63" s="218" t="s">
        <v>2675</v>
      </c>
      <c r="G63" s="219" t="str">
        <f ca="1">IFERROR(VLOOKUP(DB_TBL_DATA_FIELDS[[#This Row],[FIELD_ID]],INDIRECT(DB_TBL_DATA_FIELDS[[#This Row],[SHEET_REF_CALC]]&amp;"!A:B"),2,FALSE),"")</f>
        <v/>
      </c>
      <c r="H63" s="30" t="str">
        <f ca="1">IF(DB_TBL_DATA_FIELDS[[#This Row],[FIELD_EMPTY_FLAG]],"",DB_TBL_DATA_FIELDS[[#This Row],[FIELD_REQ_FLAG]])</f>
        <v/>
      </c>
      <c r="I63" s="218" t="b">
        <f ca="1">(DB_TBL_DATA_FIELDS[[#This Row],[FIELD_VALUE_RAW]]="")</f>
        <v>1</v>
      </c>
      <c r="J63" s="218" t="s">
        <v>40</v>
      </c>
      <c r="K63" s="220" t="b">
        <f ca="1">AND(IF(DB_TBL_DATA_FIELDS[[#This Row],[FIELD_VALID_CUSTOM_LOGIC]]="",TRUE,DB_TBL_DATA_FIELDS[[#This Row],[FIELD_VALID_CUSTOM_LOGIC]]),DB_TBL_DATA_FIELDS[[#This Row],[RANGE_VALIDATION_PASSED_FLAG]])</f>
        <v>0</v>
      </c>
      <c r="L63" s="221"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63" s="333">
        <f ca="1">IF(DB_TBL_DATA_FIELDS[[#This Row],[SHEET_REF_CALC]]="","",IF(DB_TBL_DATA_FIELDS[[#This Row],[FIELD_EMPTY_FLAG]],IF(NOT(DB_TBL_DATA_FIELDS[[#This Row],[FIELD_REQ_FLAG]]),-1,1),IF(NOT(DB_TBL_DATA_FIELDS[[#This Row],[FIELD_VALID_FLAG]]),0,2)))</f>
        <v>-1</v>
      </c>
      <c r="N63" s="220" t="str">
        <f ca="1">IFERROR(VLOOKUP(DB_TBL_DATA_FIELDS[[#This Row],[FIELD_STATUS_CODE]],DB_TBL_CONFIG_FIELDSTATUSCODES[#All],3,FALSE),"")</f>
        <v>Optional</v>
      </c>
      <c r="O63" s="220" t="str">
        <f ca="1">IFERROR(VLOOKUP(DB_TBL_DATA_FIELDS[[#This Row],[FIELD_STATUS_CODE]],DB_TBL_CONFIG_FIELDSTATUSCODES[#All],4,FALSE),"")</f>
        <v xml:space="preserve"> </v>
      </c>
      <c r="P63" s="220" t="b">
        <f>TRUE</f>
        <v>1</v>
      </c>
      <c r="Q63" s="220" t="b">
        <f>TRUE</f>
        <v>1</v>
      </c>
      <c r="R63" s="217" t="s">
        <v>40</v>
      </c>
      <c r="S63" s="220">
        <f ca="1">IF(DB_TBL_DATA_FIELDS[[#This Row],[RANGE_VALIDATION_FLAG]]="Text",LEN(DB_TBL_DATA_FIELDS[[#This Row],[FIELD_VALUE_RAW]]),IFERROR(VALUE(DB_TBL_DATA_FIELDS[[#This Row],[FIELD_VALUE_RAW]]),-1))</f>
        <v>-1</v>
      </c>
      <c r="T63" s="220">
        <v>1</v>
      </c>
      <c r="U63" s="220">
        <v>9999</v>
      </c>
      <c r="V63" s="220" t="b">
        <f ca="1">IF(NOT(DB_TBL_DATA_FIELDS[[#This Row],[RANGE_VALIDATION_ON_FLAG]]),TRUE,
AND(DB_TBL_DATA_FIELDS[[#This Row],[RANGE_VALUE_LEN]]&gt;=DB_TBL_DATA_FIELDS[[#This Row],[RANGE_VALIDATION_MIN]],DB_TBL_DATA_FIELDS[[#This Row],[RANGE_VALUE_LEN]]&lt;=DB_TBL_DATA_FIELDS[[#This Row],[RANGE_VALIDATION_MAX]]))</f>
        <v>0</v>
      </c>
      <c r="W63" s="216">
        <v>1</v>
      </c>
      <c r="X63" s="216">
        <f ca="1">IF(DB_TBL_DATA_FIELDS[[#This Row],[PCT_CALC_SHOW_STATUS_CODE]]=1,
DB_TBL_DATA_FIELDS[[#This Row],[FIELD_STATUS_CODE]],
IF(AND(DB_TBL_DATA_FIELDS[[#This Row],[PCT_CALC_SHOW_STATUS_CODE]]=2,DB_TBL_DATA_FIELDS[[#This Row],[FIELD_STATUS_CODE]]=0),
DB_TBL_DATA_FIELDS[[#This Row],[FIELD_STATUS_CODE]],
"")
)</f>
        <v>-1</v>
      </c>
      <c r="Y63" s="222"/>
      <c r="Z63" s="221" t="s">
        <v>2289</v>
      </c>
      <c r="AA63" s="12" t="s">
        <v>2460</v>
      </c>
      <c r="AB63" s="221"/>
      <c r="AC63" s="221"/>
      <c r="AD63" s="221"/>
      <c r="AE63" s="223" t="s">
        <v>2676</v>
      </c>
    </row>
    <row r="64" spans="1:31" x14ac:dyDescent="0.3">
      <c r="A64" s="10" t="s">
        <v>2790</v>
      </c>
      <c r="B64" s="7" t="str">
        <f>IFERROR(IF(FIND(DATA_EFORM_TYPE_CODE,DB_TBL_DATA_FIELDS[[#This Row],[APPLICABLE_EFORM_LIST]])&gt;0,DATA_EFORM_TYPE_CODE,""),"")</f>
        <v>AHEAD</v>
      </c>
      <c r="C64" s="4" t="s">
        <v>2469</v>
      </c>
      <c r="D64" s="4" t="b">
        <v>1</v>
      </c>
      <c r="E64" s="42" t="b">
        <f ca="1">IF(G62=TRUE,TRUE,FALSE)</f>
        <v>0</v>
      </c>
      <c r="F64" s="6" t="s">
        <v>2679</v>
      </c>
      <c r="G64" s="224">
        <f ca="1">IF(CREATE_RETAIN_JOB_FLG&lt;&gt;TRUE,0,IF(CREATE_RETAIN_JOB_COUNT="","",CREATE_RETAIN_JOB_COUNT))</f>
        <v>0</v>
      </c>
      <c r="H64" s="34"/>
      <c r="I64" s="6" t="b">
        <f ca="1">(DB_TBL_DATA_FIELDS[[#This Row],[FIELD_VALUE_RAW]]="")</f>
        <v>0</v>
      </c>
      <c r="J64" s="6" t="s">
        <v>40</v>
      </c>
      <c r="K64" s="8" t="b">
        <f ca="1">AND(IF(DB_TBL_DATA_FIELDS[[#This Row],[FIELD_VALID_CUSTOM_LOGIC]]="",TRUE,DB_TBL_DATA_FIELDS[[#This Row],[FIELD_VALID_CUSTOM_LOGIC]]),DB_TBL_DATA_FIELDS[[#This Row],[RANGE_VALIDATION_PASSED_FLAG]])</f>
        <v>1</v>
      </c>
      <c r="L64" s="12">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0</v>
      </c>
      <c r="M64" s="328">
        <f ca="1">IF(DB_TBL_DATA_FIELDS[[#This Row],[SHEET_REF_CALC]]="","",IF(DB_TBL_DATA_FIELDS[[#This Row],[FIELD_EMPTY_FLAG]],IF(NOT(DB_TBL_DATA_FIELDS[[#This Row],[FIELD_REQ_FLAG]]),-1,1),IF(NOT(DB_TBL_DATA_FIELDS[[#This Row],[FIELD_VALID_FLAG]]),0,2)))</f>
        <v>2</v>
      </c>
      <c r="N64" s="8" t="str">
        <f ca="1">IFERROR(VLOOKUP(DB_TBL_DATA_FIELDS[[#This Row],[FIELD_STATUS_CODE]],DB_TBL_CONFIG_FIELDSTATUSCODES[#All],3,FALSE),"")</f>
        <v>OK</v>
      </c>
      <c r="O64" s="8" t="str">
        <f ca="1">IFERROR(VLOOKUP(DB_TBL_DATA_FIELDS[[#This Row],[FIELD_STATUS_CODE]],DB_TBL_CONFIG_FIELDSTATUSCODES[#All],4,FALSE),"")</f>
        <v>a</v>
      </c>
      <c r="P64" s="8" t="b">
        <f>TRUE</f>
        <v>1</v>
      </c>
      <c r="Q64" s="8" t="b">
        <f>TRUE</f>
        <v>1</v>
      </c>
      <c r="R64" s="4" t="s">
        <v>40</v>
      </c>
      <c r="S64" s="8">
        <f ca="1">IF(DB_TBL_DATA_FIELDS[[#This Row],[RANGE_VALIDATION_FLAG]]="Text",LEN(DB_TBL_DATA_FIELDS[[#This Row],[FIELD_VALUE_RAW]]),IFERROR(VALUE(DB_TBL_DATA_FIELDS[[#This Row],[FIELD_VALUE_RAW]]),-1))</f>
        <v>0</v>
      </c>
      <c r="T64" s="8">
        <v>0</v>
      </c>
      <c r="U64" s="8">
        <v>9999</v>
      </c>
      <c r="V64" s="8" t="b">
        <f ca="1">IF(NOT(DB_TBL_DATA_FIELDS[[#This Row],[RANGE_VALIDATION_ON_FLAG]]),TRUE,
AND(DB_TBL_DATA_FIELDS[[#This Row],[RANGE_VALUE_LEN]]&gt;=DB_TBL_DATA_FIELDS[[#This Row],[RANGE_VALIDATION_MIN]],DB_TBL_DATA_FIELDS[[#This Row],[RANGE_VALUE_LEN]]&lt;=DB_TBL_DATA_FIELDS[[#This Row],[RANGE_VALIDATION_MAX]]))</f>
        <v>1</v>
      </c>
      <c r="W64" s="7">
        <v>0</v>
      </c>
      <c r="X64" s="7" t="str">
        <f ca="1">IF(DB_TBL_DATA_FIELDS[[#This Row],[PCT_CALC_SHOW_STATUS_CODE]]=1,
DB_TBL_DATA_FIELDS[[#This Row],[FIELD_STATUS_CODE]],
IF(AND(DB_TBL_DATA_FIELDS[[#This Row],[PCT_CALC_SHOW_STATUS_CODE]]=2,DB_TBL_DATA_FIELDS[[#This Row],[FIELD_STATUS_CODE]]=0),
DB_TBL_DATA_FIELDS[[#This Row],[FIELD_STATUS_CODE]],
"")
)</f>
        <v/>
      </c>
      <c r="Y64" s="69"/>
      <c r="Z64" s="12" t="s">
        <v>2289</v>
      </c>
      <c r="AA64" s="12" t="s">
        <v>2460</v>
      </c>
      <c r="AB64" s="12" t="s">
        <v>2469</v>
      </c>
      <c r="AC64" s="12" t="s">
        <v>2660</v>
      </c>
      <c r="AD64" s="12"/>
      <c r="AE64" s="35" t="s">
        <v>2677</v>
      </c>
    </row>
    <row r="65" spans="1:31" x14ac:dyDescent="0.3">
      <c r="A65" s="10" t="s">
        <v>2790</v>
      </c>
      <c r="B65" s="7" t="str">
        <f>IFERROR(IF(FIND(DATA_EFORM_TYPE_CODE,DB_TBL_DATA_FIELDS[[#This Row],[APPLICABLE_EFORM_LIST]])&gt;0,DATA_EFORM_TYPE_CODE,""),"")</f>
        <v>AHEAD</v>
      </c>
      <c r="C65" s="4" t="s">
        <v>2475</v>
      </c>
      <c r="D65" s="4" t="b">
        <v>1</v>
      </c>
      <c r="E65" s="196" t="b">
        <v>1</v>
      </c>
      <c r="F65" s="6" t="s">
        <v>2473</v>
      </c>
      <c r="G65" s="34" t="str">
        <f ca="1">IFERROR(VLOOKUP(DB_TBL_DATA_FIELDS[[#This Row],[FIELD_ID]],INDIRECT(DB_TBL_DATA_FIELDS[[#This Row],[SHEET_REF_CALC]]&amp;"!A:B"),2,FALSE),"")</f>
        <v/>
      </c>
      <c r="H65" s="34"/>
      <c r="I65" s="6" t="b">
        <f ca="1">(DB_TBL_DATA_FIELDS[[#This Row],[FIELD_VALUE_RAW]]="")</f>
        <v>1</v>
      </c>
      <c r="J65" s="6" t="s">
        <v>168</v>
      </c>
      <c r="K65" s="8" t="b">
        <f>AND(IF(DB_TBL_DATA_FIELDS[[#This Row],[FIELD_VALID_CUSTOM_LOGIC]]="",TRUE,DB_TBL_DATA_FIELDS[[#This Row],[FIELD_VALID_CUSTOM_LOGIC]]),DB_TBL_DATA_FIELDS[[#This Row],[RANGE_VALIDATION_PASSED_FLAG]])</f>
        <v>1</v>
      </c>
      <c r="L65"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65" s="328">
        <f ca="1">IF(DB_TBL_DATA_FIELDS[[#This Row],[SHEET_REF_CALC]]="","",IF(DB_TBL_DATA_FIELDS[[#This Row],[FIELD_EMPTY_FLAG]],IF(NOT(DB_TBL_DATA_FIELDS[[#This Row],[FIELD_REQ_FLAG]]),-1,1),IF(NOT(DB_TBL_DATA_FIELDS[[#This Row],[FIELD_VALID_FLAG]]),0,2)))</f>
        <v>1</v>
      </c>
      <c r="N65" s="8" t="str">
        <f ca="1">IFERROR(VLOOKUP(DB_TBL_DATA_FIELDS[[#This Row],[FIELD_STATUS_CODE]],DB_TBL_CONFIG_FIELDSTATUSCODES[#All],3,FALSE),"")</f>
        <v>Required</v>
      </c>
      <c r="O65" s="8" t="str">
        <f ca="1">IFERROR(VLOOKUP(DB_TBL_DATA_FIELDS[[#This Row],[FIELD_STATUS_CODE]],DB_TBL_CONFIG_FIELDSTATUSCODES[#All],4,FALSE),"")</f>
        <v>i</v>
      </c>
      <c r="P65" s="8" t="b">
        <f>TRUE</f>
        <v>1</v>
      </c>
      <c r="Q65" s="8" t="b">
        <v>0</v>
      </c>
      <c r="R65" s="4"/>
      <c r="S65" s="8">
        <f ca="1">IF(DB_TBL_DATA_FIELDS[[#This Row],[RANGE_VALIDATION_FLAG]]="Text",LEN(DB_TBL_DATA_FIELDS[[#This Row],[FIELD_VALUE_RAW]]),IFERROR(VALUE(DB_TBL_DATA_FIELDS[[#This Row],[FIELD_VALUE_RAW]]),-1))</f>
        <v>-1</v>
      </c>
      <c r="T65" s="8"/>
      <c r="U65" s="8"/>
      <c r="V65" s="8" t="b">
        <f>IF(NOT(DB_TBL_DATA_FIELDS[[#This Row],[RANGE_VALIDATION_ON_FLAG]]),TRUE,
AND(DB_TBL_DATA_FIELDS[[#This Row],[RANGE_VALUE_LEN]]&gt;=DB_TBL_DATA_FIELDS[[#This Row],[RANGE_VALIDATION_MIN]],DB_TBL_DATA_FIELDS[[#This Row],[RANGE_VALUE_LEN]]&lt;=DB_TBL_DATA_FIELDS[[#This Row],[RANGE_VALIDATION_MAX]]))</f>
        <v>1</v>
      </c>
      <c r="W65" s="7">
        <v>1</v>
      </c>
      <c r="X65" s="7">
        <f ca="1">IF(DB_TBL_DATA_FIELDS[[#This Row],[PCT_CALC_SHOW_STATUS_CODE]]=1,
DB_TBL_DATA_FIELDS[[#This Row],[FIELD_STATUS_CODE]],
IF(AND(DB_TBL_DATA_FIELDS[[#This Row],[PCT_CALC_SHOW_STATUS_CODE]]=2,DB_TBL_DATA_FIELDS[[#This Row],[FIELD_STATUS_CODE]]=0),
DB_TBL_DATA_FIELDS[[#This Row],[FIELD_STATUS_CODE]],
"")
)</f>
        <v>1</v>
      </c>
      <c r="Y65" s="69"/>
      <c r="Z65" s="12" t="s">
        <v>2290</v>
      </c>
      <c r="AA65" s="12" t="s">
        <v>2460</v>
      </c>
      <c r="AB65" s="12" t="s">
        <v>2475</v>
      </c>
      <c r="AC65" s="12" t="s">
        <v>2656</v>
      </c>
      <c r="AD65" s="12"/>
      <c r="AE65" s="35"/>
    </row>
    <row r="66" spans="1:31" x14ac:dyDescent="0.3">
      <c r="A66" s="10" t="s">
        <v>2790</v>
      </c>
      <c r="B66" s="7" t="str">
        <f>IFERROR(IF(FIND(DATA_EFORM_TYPE_CODE,DB_TBL_DATA_FIELDS[[#This Row],[APPLICABLE_EFORM_LIST]])&gt;0,DATA_EFORM_TYPE_CODE,""),"")</f>
        <v>AHEAD</v>
      </c>
      <c r="C66" s="4" t="s">
        <v>2476</v>
      </c>
      <c r="D66" s="4" t="b">
        <v>1</v>
      </c>
      <c r="E66" s="196" t="b">
        <v>1</v>
      </c>
      <c r="F66" s="6" t="s">
        <v>2472</v>
      </c>
      <c r="G66" s="34" t="str">
        <f ca="1">IFERROR(VLOOKUP(DB_TBL_DATA_FIELDS[[#This Row],[FIELD_ID]],INDIRECT(DB_TBL_DATA_FIELDS[[#This Row],[SHEET_REF_CALC]]&amp;"!A:B"),2,FALSE),"")</f>
        <v/>
      </c>
      <c r="H66" s="34"/>
      <c r="I66" s="6" t="b">
        <f ca="1">(DB_TBL_DATA_FIELDS[[#This Row],[FIELD_VALUE_RAW]]="")</f>
        <v>1</v>
      </c>
      <c r="J66" s="6" t="s">
        <v>168</v>
      </c>
      <c r="K66" s="8" t="b">
        <f>AND(IF(DB_TBL_DATA_FIELDS[[#This Row],[FIELD_VALID_CUSTOM_LOGIC]]="",TRUE,DB_TBL_DATA_FIELDS[[#This Row],[FIELD_VALID_CUSTOM_LOGIC]]),DB_TBL_DATA_FIELDS[[#This Row],[RANGE_VALIDATION_PASSED_FLAG]])</f>
        <v>1</v>
      </c>
      <c r="L66"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66" s="328">
        <f ca="1">IF(DB_TBL_DATA_FIELDS[[#This Row],[SHEET_REF_CALC]]="","",IF(DB_TBL_DATA_FIELDS[[#This Row],[FIELD_EMPTY_FLAG]],IF(NOT(DB_TBL_DATA_FIELDS[[#This Row],[FIELD_REQ_FLAG]]),-1,1),IF(NOT(DB_TBL_DATA_FIELDS[[#This Row],[FIELD_VALID_FLAG]]),0,2)))</f>
        <v>1</v>
      </c>
      <c r="N66" s="8" t="str">
        <f ca="1">IFERROR(VLOOKUP(DB_TBL_DATA_FIELDS[[#This Row],[FIELD_STATUS_CODE]],DB_TBL_CONFIG_FIELDSTATUSCODES[#All],3,FALSE),"")</f>
        <v>Required</v>
      </c>
      <c r="O66" s="8" t="str">
        <f ca="1">IFERROR(VLOOKUP(DB_TBL_DATA_FIELDS[[#This Row],[FIELD_STATUS_CODE]],DB_TBL_CONFIG_FIELDSTATUSCODES[#All],4,FALSE),"")</f>
        <v>i</v>
      </c>
      <c r="P66" s="8" t="b">
        <f>TRUE</f>
        <v>1</v>
      </c>
      <c r="Q66" s="8" t="b">
        <v>0</v>
      </c>
      <c r="R66" s="4"/>
      <c r="S66" s="8">
        <f ca="1">IF(DB_TBL_DATA_FIELDS[[#This Row],[RANGE_VALIDATION_FLAG]]="Text",LEN(DB_TBL_DATA_FIELDS[[#This Row],[FIELD_VALUE_RAW]]),IFERROR(VALUE(DB_TBL_DATA_FIELDS[[#This Row],[FIELD_VALUE_RAW]]),-1))</f>
        <v>-1</v>
      </c>
      <c r="T66" s="8"/>
      <c r="U66" s="8"/>
      <c r="V66" s="8" t="b">
        <f>IF(NOT(DB_TBL_DATA_FIELDS[[#This Row],[RANGE_VALIDATION_ON_FLAG]]),TRUE,
AND(DB_TBL_DATA_FIELDS[[#This Row],[RANGE_VALUE_LEN]]&gt;=DB_TBL_DATA_FIELDS[[#This Row],[RANGE_VALIDATION_MIN]],DB_TBL_DATA_FIELDS[[#This Row],[RANGE_VALUE_LEN]]&lt;=DB_TBL_DATA_FIELDS[[#This Row],[RANGE_VALIDATION_MAX]]))</f>
        <v>1</v>
      </c>
      <c r="W66" s="7">
        <v>1</v>
      </c>
      <c r="X66" s="7">
        <f ca="1">IF(DB_TBL_DATA_FIELDS[[#This Row],[PCT_CALC_SHOW_STATUS_CODE]]=1,
DB_TBL_DATA_FIELDS[[#This Row],[FIELD_STATUS_CODE]],
IF(AND(DB_TBL_DATA_FIELDS[[#This Row],[PCT_CALC_SHOW_STATUS_CODE]]=2,DB_TBL_DATA_FIELDS[[#This Row],[FIELD_STATUS_CODE]]=0),
DB_TBL_DATA_FIELDS[[#This Row],[FIELD_STATUS_CODE]],
"")
)</f>
        <v>1</v>
      </c>
      <c r="Y66" s="69"/>
      <c r="Z66" s="12" t="s">
        <v>2470</v>
      </c>
      <c r="AA66" s="12" t="s">
        <v>2460</v>
      </c>
      <c r="AB66" s="12" t="s">
        <v>2476</v>
      </c>
      <c r="AC66" s="12" t="s">
        <v>2656</v>
      </c>
      <c r="AD66" s="12"/>
      <c r="AE66" s="35"/>
    </row>
    <row r="67" spans="1:31" x14ac:dyDescent="0.3">
      <c r="A67" s="10" t="s">
        <v>2790</v>
      </c>
      <c r="B67" s="7" t="str">
        <f>IFERROR(IF(FIND(DATA_EFORM_TYPE_CODE,DB_TBL_DATA_FIELDS[[#This Row],[APPLICABLE_EFORM_LIST]])&gt;0,DATA_EFORM_TYPE_CODE,""),"")</f>
        <v>AHEAD</v>
      </c>
      <c r="C67" s="4" t="s">
        <v>2477</v>
      </c>
      <c r="D67" s="4" t="b">
        <v>1</v>
      </c>
      <c r="E67" s="196" t="b">
        <v>1</v>
      </c>
      <c r="F67" s="6" t="s">
        <v>2471</v>
      </c>
      <c r="G67" s="34" t="str">
        <f ca="1">IFERROR(VLOOKUP(DB_TBL_DATA_FIELDS[[#This Row],[FIELD_ID]],INDIRECT(DB_TBL_DATA_FIELDS[[#This Row],[SHEET_REF_CALC]]&amp;"!A:B"),2,FALSE),"")</f>
        <v/>
      </c>
      <c r="H67" s="34"/>
      <c r="I67" s="6" t="b">
        <f ca="1">(DB_TBL_DATA_FIELDS[[#This Row],[FIELD_VALUE_RAW]]="")</f>
        <v>1</v>
      </c>
      <c r="J67" s="6" t="s">
        <v>168</v>
      </c>
      <c r="K67" s="8" t="b">
        <f>AND(IF(DB_TBL_DATA_FIELDS[[#This Row],[FIELD_VALID_CUSTOM_LOGIC]]="",TRUE,DB_TBL_DATA_FIELDS[[#This Row],[FIELD_VALID_CUSTOM_LOGIC]]),DB_TBL_DATA_FIELDS[[#This Row],[RANGE_VALIDATION_PASSED_FLAG]])</f>
        <v>1</v>
      </c>
      <c r="L67"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67" s="328">
        <f ca="1">IF(DB_TBL_DATA_FIELDS[[#This Row],[SHEET_REF_CALC]]="","",IF(DB_TBL_DATA_FIELDS[[#This Row],[FIELD_EMPTY_FLAG]],IF(NOT(DB_TBL_DATA_FIELDS[[#This Row],[FIELD_REQ_FLAG]]),-1,1),IF(NOT(DB_TBL_DATA_FIELDS[[#This Row],[FIELD_VALID_FLAG]]),0,2)))</f>
        <v>1</v>
      </c>
      <c r="N67" s="8" t="str">
        <f ca="1">IFERROR(VLOOKUP(DB_TBL_DATA_FIELDS[[#This Row],[FIELD_STATUS_CODE]],DB_TBL_CONFIG_FIELDSTATUSCODES[#All],3,FALSE),"")</f>
        <v>Required</v>
      </c>
      <c r="O67" s="8" t="str">
        <f ca="1">IFERROR(VLOOKUP(DB_TBL_DATA_FIELDS[[#This Row],[FIELD_STATUS_CODE]],DB_TBL_CONFIG_FIELDSTATUSCODES[#All],4,FALSE),"")</f>
        <v>i</v>
      </c>
      <c r="P67" s="8" t="b">
        <f>TRUE</f>
        <v>1</v>
      </c>
      <c r="Q67" s="8" t="b">
        <v>0</v>
      </c>
      <c r="R67" s="4"/>
      <c r="S67" s="8">
        <f ca="1">IF(DB_TBL_DATA_FIELDS[[#This Row],[RANGE_VALIDATION_FLAG]]="Text",LEN(DB_TBL_DATA_FIELDS[[#This Row],[FIELD_VALUE_RAW]]),IFERROR(VALUE(DB_TBL_DATA_FIELDS[[#This Row],[FIELD_VALUE_RAW]]),-1))</f>
        <v>-1</v>
      </c>
      <c r="T67" s="8"/>
      <c r="U67" s="8"/>
      <c r="V67" s="8" t="b">
        <f>IF(NOT(DB_TBL_DATA_FIELDS[[#This Row],[RANGE_VALIDATION_ON_FLAG]]),TRUE,
AND(DB_TBL_DATA_FIELDS[[#This Row],[RANGE_VALUE_LEN]]&gt;=DB_TBL_DATA_FIELDS[[#This Row],[RANGE_VALIDATION_MIN]],DB_TBL_DATA_FIELDS[[#This Row],[RANGE_VALUE_LEN]]&lt;=DB_TBL_DATA_FIELDS[[#This Row],[RANGE_VALIDATION_MAX]]))</f>
        <v>1</v>
      </c>
      <c r="W67" s="7">
        <v>1</v>
      </c>
      <c r="X67" s="7">
        <f ca="1">IF(DB_TBL_DATA_FIELDS[[#This Row],[PCT_CALC_SHOW_STATUS_CODE]]=1,
DB_TBL_DATA_FIELDS[[#This Row],[FIELD_STATUS_CODE]],
IF(AND(DB_TBL_DATA_FIELDS[[#This Row],[PCT_CALC_SHOW_STATUS_CODE]]=2,DB_TBL_DATA_FIELDS[[#This Row],[FIELD_STATUS_CODE]]=0),
DB_TBL_DATA_FIELDS[[#This Row],[FIELD_STATUS_CODE]],
"")
)</f>
        <v>1</v>
      </c>
      <c r="Y67" s="69"/>
      <c r="Z67" s="12" t="s">
        <v>2291</v>
      </c>
      <c r="AA67" s="12" t="s">
        <v>2460</v>
      </c>
      <c r="AB67" s="12" t="s">
        <v>2477</v>
      </c>
      <c r="AC67" s="12" t="s">
        <v>2656</v>
      </c>
      <c r="AD67" s="12"/>
      <c r="AE67" s="35"/>
    </row>
    <row r="68" spans="1:31" x14ac:dyDescent="0.3">
      <c r="A68" s="10" t="s">
        <v>2790</v>
      </c>
      <c r="B68" s="7" t="str">
        <f>IFERROR(IF(FIND(DATA_EFORM_TYPE_CODE,DB_TBL_DATA_FIELDS[[#This Row],[APPLICABLE_EFORM_LIST]])&gt;0,DATA_EFORM_TYPE_CODE,""),"")</f>
        <v>AHEAD</v>
      </c>
      <c r="C68" s="4" t="s">
        <v>2478</v>
      </c>
      <c r="D68" s="4" t="b">
        <v>1</v>
      </c>
      <c r="E68" s="196" t="b">
        <v>1</v>
      </c>
      <c r="F68" s="6" t="s">
        <v>2474</v>
      </c>
      <c r="G68" s="34" t="str">
        <f ca="1">IFERROR(VLOOKUP(DB_TBL_DATA_FIELDS[[#This Row],[FIELD_ID]],INDIRECT(DB_TBL_DATA_FIELDS[[#This Row],[SHEET_REF_CALC]]&amp;"!A:B"),2,FALSE),"")</f>
        <v/>
      </c>
      <c r="H68" s="34"/>
      <c r="I68" s="6" t="b">
        <f ca="1">(DB_TBL_DATA_FIELDS[[#This Row],[FIELD_VALUE_RAW]]="")</f>
        <v>1</v>
      </c>
      <c r="J68" s="6" t="s">
        <v>168</v>
      </c>
      <c r="K68" s="8" t="b">
        <f>AND(IF(DB_TBL_DATA_FIELDS[[#This Row],[FIELD_VALID_CUSTOM_LOGIC]]="",TRUE,DB_TBL_DATA_FIELDS[[#This Row],[FIELD_VALID_CUSTOM_LOGIC]]),DB_TBL_DATA_FIELDS[[#This Row],[RANGE_VALIDATION_PASSED_FLAG]])</f>
        <v>1</v>
      </c>
      <c r="L68"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68" s="328">
        <f ca="1">IF(DB_TBL_DATA_FIELDS[[#This Row],[SHEET_REF_CALC]]="","",IF(DB_TBL_DATA_FIELDS[[#This Row],[FIELD_EMPTY_FLAG]],IF(NOT(DB_TBL_DATA_FIELDS[[#This Row],[FIELD_REQ_FLAG]]),-1,1),IF(NOT(DB_TBL_DATA_FIELDS[[#This Row],[FIELD_VALID_FLAG]]),0,2)))</f>
        <v>1</v>
      </c>
      <c r="N68" s="8" t="str">
        <f ca="1">IFERROR(VLOOKUP(DB_TBL_DATA_FIELDS[[#This Row],[FIELD_STATUS_CODE]],DB_TBL_CONFIG_FIELDSTATUSCODES[#All],3,FALSE),"")</f>
        <v>Required</v>
      </c>
      <c r="O68" s="8" t="str">
        <f ca="1">IFERROR(VLOOKUP(DB_TBL_DATA_FIELDS[[#This Row],[FIELD_STATUS_CODE]],DB_TBL_CONFIG_FIELDSTATUSCODES[#All],4,FALSE),"")</f>
        <v>i</v>
      </c>
      <c r="P68" s="8" t="b">
        <f>TRUE</f>
        <v>1</v>
      </c>
      <c r="Q68" s="8" t="b">
        <v>0</v>
      </c>
      <c r="R68" s="4"/>
      <c r="S68" s="8">
        <f ca="1">IF(DB_TBL_DATA_FIELDS[[#This Row],[RANGE_VALIDATION_FLAG]]="Text",LEN(DB_TBL_DATA_FIELDS[[#This Row],[FIELD_VALUE_RAW]]),IFERROR(VALUE(DB_TBL_DATA_FIELDS[[#This Row],[FIELD_VALUE_RAW]]),-1))</f>
        <v>-1</v>
      </c>
      <c r="T68" s="8"/>
      <c r="U68" s="8"/>
      <c r="V68" s="8" t="b">
        <f>IF(NOT(DB_TBL_DATA_FIELDS[[#This Row],[RANGE_VALIDATION_ON_FLAG]]),TRUE,
AND(DB_TBL_DATA_FIELDS[[#This Row],[RANGE_VALUE_LEN]]&gt;=DB_TBL_DATA_FIELDS[[#This Row],[RANGE_VALIDATION_MIN]],DB_TBL_DATA_FIELDS[[#This Row],[RANGE_VALUE_LEN]]&lt;=DB_TBL_DATA_FIELDS[[#This Row],[RANGE_VALIDATION_MAX]]))</f>
        <v>1</v>
      </c>
      <c r="W68" s="7">
        <v>1</v>
      </c>
      <c r="X68" s="7">
        <f ca="1">IF(DB_TBL_DATA_FIELDS[[#This Row],[PCT_CALC_SHOW_STATUS_CODE]]=1,
DB_TBL_DATA_FIELDS[[#This Row],[FIELD_STATUS_CODE]],
IF(AND(DB_TBL_DATA_FIELDS[[#This Row],[PCT_CALC_SHOW_STATUS_CODE]]=2,DB_TBL_DATA_FIELDS[[#This Row],[FIELD_STATUS_CODE]]=0),
DB_TBL_DATA_FIELDS[[#This Row],[FIELD_STATUS_CODE]],
"")
)</f>
        <v>1</v>
      </c>
      <c r="Y68" s="69"/>
      <c r="Z68" s="12" t="s">
        <v>2292</v>
      </c>
      <c r="AA68" s="12" t="s">
        <v>2460</v>
      </c>
      <c r="AB68" s="12" t="s">
        <v>2478</v>
      </c>
      <c r="AC68" s="12" t="s">
        <v>2656</v>
      </c>
      <c r="AD68" s="12"/>
      <c r="AE68" s="35"/>
    </row>
    <row r="69" spans="1:31" x14ac:dyDescent="0.3">
      <c r="A69" s="10" t="s">
        <v>2790</v>
      </c>
      <c r="B69" s="7" t="str">
        <f>IFERROR(IF(FIND(DATA_EFORM_TYPE_CODE,DB_TBL_DATA_FIELDS[[#This Row],[APPLICABLE_EFORM_LIST]])&gt;0,DATA_EFORM_TYPE_CODE,""),"")</f>
        <v>AHEAD</v>
      </c>
      <c r="C69" s="4" t="s">
        <v>2481</v>
      </c>
      <c r="D69" s="4" t="b">
        <v>1</v>
      </c>
      <c r="E69" s="42" t="b">
        <f ca="1">IF(OR(
PROJECT_TYPE_SELECTION=PROJECT_TYPE_CAPACITY,
PROJECT_TYPE_SELECTION=PROJECT_TYPE_HOUSINGINIT,
PROJECT_TYPE_SELECTION=PROJECT_TYPE_OTHERECONDEV,
PROJECT_TYPE_SELECTION=PROJECT_TYPE_SOCIALSERVICES),TRUE,FALSE)</f>
        <v>0</v>
      </c>
      <c r="F69" s="6" t="s">
        <v>2487</v>
      </c>
      <c r="G69" s="34" t="str">
        <f ca="1">IFERROR(VLOOKUP(DB_TBL_DATA_FIELDS[[#This Row],[FIELD_ID]],INDIRECT(DB_TBL_DATA_FIELDS[[#This Row],[SHEET_REF_CALC]]&amp;"!A:B"),2,FALSE),"")</f>
        <v/>
      </c>
      <c r="H69" s="30" t="str">
        <f ca="1">IF(DB_TBL_DATA_FIELDS[[#This Row],[FIELD_EMPTY_FLAG]],"",DB_TBL_DATA_FIELDS[[#This Row],[FIELD_REQ_FLAG]])</f>
        <v/>
      </c>
      <c r="I69" s="6" t="b">
        <f ca="1">(DB_TBL_DATA_FIELDS[[#This Row],[FIELD_VALUE_RAW]]="")</f>
        <v>1</v>
      </c>
      <c r="J69" s="6" t="s">
        <v>40</v>
      </c>
      <c r="K69" s="8" t="b">
        <f ca="1">AND(IF(DB_TBL_DATA_FIELDS[[#This Row],[FIELD_VALID_CUSTOM_LOGIC]]="",TRUE,DB_TBL_DATA_FIELDS[[#This Row],[FIELD_VALID_CUSTOM_LOGIC]]),DB_TBL_DATA_FIELDS[[#This Row],[RANGE_VALIDATION_PASSED_FLAG]])</f>
        <v>0</v>
      </c>
      <c r="L69"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69" s="328">
        <f ca="1">IF(DB_TBL_DATA_FIELDS[[#This Row],[SHEET_REF_CALC]]="","",IF(DB_TBL_DATA_FIELDS[[#This Row],[FIELD_EMPTY_FLAG]],IF(NOT(DB_TBL_DATA_FIELDS[[#This Row],[FIELD_REQ_FLAG]]),-1,1),IF(NOT(DB_TBL_DATA_FIELDS[[#This Row],[FIELD_VALID_FLAG]]),0,2)))</f>
        <v>-1</v>
      </c>
      <c r="N69" s="8" t="str">
        <f ca="1">IFERROR(VLOOKUP(DB_TBL_DATA_FIELDS[[#This Row],[FIELD_STATUS_CODE]],DB_TBL_CONFIG_FIELDSTATUSCODES[#All],3,FALSE),"")</f>
        <v>Optional</v>
      </c>
      <c r="O69" s="8" t="str">
        <f ca="1">IFERROR(VLOOKUP(DB_TBL_DATA_FIELDS[[#This Row],[FIELD_STATUS_CODE]],DB_TBL_CONFIG_FIELDSTATUSCODES[#All],4,FALSE),"")</f>
        <v xml:space="preserve"> </v>
      </c>
      <c r="P69" s="8" t="b">
        <f>TRUE</f>
        <v>1</v>
      </c>
      <c r="Q69" s="8" t="b">
        <v>1</v>
      </c>
      <c r="R69" s="4" t="s">
        <v>40</v>
      </c>
      <c r="S69" s="8">
        <f ca="1">IF(DB_TBL_DATA_FIELDS[[#This Row],[RANGE_VALIDATION_FLAG]]="Text",LEN(DB_TBL_DATA_FIELDS[[#This Row],[FIELD_VALUE_RAW]]),IFERROR(VALUE(DB_TBL_DATA_FIELDS[[#This Row],[FIELD_VALUE_RAW]]),-1))</f>
        <v>-1</v>
      </c>
      <c r="T69" s="8">
        <v>0</v>
      </c>
      <c r="U69" s="8">
        <v>999999999999</v>
      </c>
      <c r="V69" s="8" t="b">
        <f ca="1">IF(NOT(DB_TBL_DATA_FIELDS[[#This Row],[RANGE_VALIDATION_ON_FLAG]]),TRUE,
AND(DB_TBL_DATA_FIELDS[[#This Row],[RANGE_VALUE_LEN]]&gt;=DB_TBL_DATA_FIELDS[[#This Row],[RANGE_VALIDATION_MIN]],DB_TBL_DATA_FIELDS[[#This Row],[RANGE_VALUE_LEN]]&lt;=DB_TBL_DATA_FIELDS[[#This Row],[RANGE_VALIDATION_MAX]]))</f>
        <v>0</v>
      </c>
      <c r="W69" s="7">
        <v>1</v>
      </c>
      <c r="X69" s="7">
        <f ca="1">IF(DB_TBL_DATA_FIELDS[[#This Row],[PCT_CALC_SHOW_STATUS_CODE]]=1,
DB_TBL_DATA_FIELDS[[#This Row],[FIELD_STATUS_CODE]],
IF(AND(DB_TBL_DATA_FIELDS[[#This Row],[PCT_CALC_SHOW_STATUS_CODE]]=2,DB_TBL_DATA_FIELDS[[#This Row],[FIELD_STATUS_CODE]]=0),
DB_TBL_DATA_FIELDS[[#This Row],[FIELD_STATUS_CODE]],
"")
)</f>
        <v>-1</v>
      </c>
      <c r="Y69" s="69"/>
      <c r="Z69" s="12" t="s">
        <v>2499</v>
      </c>
      <c r="AA69" s="12" t="s">
        <v>2460</v>
      </c>
      <c r="AB69" s="12" t="s">
        <v>2501</v>
      </c>
      <c r="AC69" s="12" t="s">
        <v>2660</v>
      </c>
      <c r="AD69" s="12"/>
      <c r="AE69" s="35"/>
    </row>
    <row r="70" spans="1:31" x14ac:dyDescent="0.3">
      <c r="A70" s="10" t="s">
        <v>2790</v>
      </c>
      <c r="B70" s="7" t="str">
        <f>IFERROR(IF(FIND(DATA_EFORM_TYPE_CODE,DB_TBL_DATA_FIELDS[[#This Row],[APPLICABLE_EFORM_LIST]])&gt;0,DATA_EFORM_TYPE_CODE,""),"")</f>
        <v>AHEAD</v>
      </c>
      <c r="C70" s="4" t="s">
        <v>2482</v>
      </c>
      <c r="D70" s="4" t="b">
        <v>1</v>
      </c>
      <c r="E70" s="42" t="b">
        <f ca="1">IF(OR(
PROJECT_TYPE_SELECTION=PROJECT_TYPE_CAPACITY,
PROJECT_TYPE_SELECTION=PROJECT_TYPE_HOUSINGINIT,
PROJECT_TYPE_SELECTION=PROJECT_TYPE_OTHERECONDEV,
PROJECT_TYPE_SELECTION=PROJECT_TYPE_SOCIALSERVICES),TRUE,FALSE)</f>
        <v>0</v>
      </c>
      <c r="F70" s="6" t="s">
        <v>2488</v>
      </c>
      <c r="G70" s="34" t="str">
        <f ca="1">IFERROR(VLOOKUP(DB_TBL_DATA_FIELDS[[#This Row],[FIELD_ID]],INDIRECT(DB_TBL_DATA_FIELDS[[#This Row],[SHEET_REF_CALC]]&amp;"!A:B"),2,FALSE),"")</f>
        <v/>
      </c>
      <c r="H70" s="30" t="str">
        <f ca="1">IF(DB_TBL_DATA_FIELDS[[#This Row],[FIELD_EMPTY_FLAG]],"",DB_TBL_DATA_FIELDS[[#This Row],[FIELD_REQ_FLAG]])</f>
        <v/>
      </c>
      <c r="I70" s="6" t="b">
        <f ca="1">(DB_TBL_DATA_FIELDS[[#This Row],[FIELD_VALUE_RAW]]="")</f>
        <v>1</v>
      </c>
      <c r="J70" s="6" t="s">
        <v>40</v>
      </c>
      <c r="K70" s="8" t="b">
        <f ca="1">AND(IF(DB_TBL_DATA_FIELDS[[#This Row],[FIELD_VALID_CUSTOM_LOGIC]]="",TRUE,DB_TBL_DATA_FIELDS[[#This Row],[FIELD_VALID_CUSTOM_LOGIC]]),DB_TBL_DATA_FIELDS[[#This Row],[RANGE_VALIDATION_PASSED_FLAG]])</f>
        <v>0</v>
      </c>
      <c r="L70"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70" s="328">
        <f ca="1">IF(DB_TBL_DATA_FIELDS[[#This Row],[SHEET_REF_CALC]]="","",IF(DB_TBL_DATA_FIELDS[[#This Row],[FIELD_EMPTY_FLAG]],IF(NOT(DB_TBL_DATA_FIELDS[[#This Row],[FIELD_REQ_FLAG]]),-1,1),IF(NOT(DB_TBL_DATA_FIELDS[[#This Row],[FIELD_VALID_FLAG]]),0,2)))</f>
        <v>-1</v>
      </c>
      <c r="N70" s="8" t="str">
        <f ca="1">IFERROR(VLOOKUP(DB_TBL_DATA_FIELDS[[#This Row],[FIELD_STATUS_CODE]],DB_TBL_CONFIG_FIELDSTATUSCODES[#All],3,FALSE),"")</f>
        <v>Optional</v>
      </c>
      <c r="O70" s="8" t="str">
        <f ca="1">IFERROR(VLOOKUP(DB_TBL_DATA_FIELDS[[#This Row],[FIELD_STATUS_CODE]],DB_TBL_CONFIG_FIELDSTATUSCODES[#All],4,FALSE),"")</f>
        <v xml:space="preserve"> </v>
      </c>
      <c r="P70" s="8" t="b">
        <f>TRUE</f>
        <v>1</v>
      </c>
      <c r="Q70" s="8" t="b">
        <v>1</v>
      </c>
      <c r="R70" s="4" t="s">
        <v>40</v>
      </c>
      <c r="S70" s="8">
        <f ca="1">IF(DB_TBL_DATA_FIELDS[[#This Row],[RANGE_VALIDATION_FLAG]]="Text",LEN(DB_TBL_DATA_FIELDS[[#This Row],[FIELD_VALUE_RAW]]),IFERROR(VALUE(DB_TBL_DATA_FIELDS[[#This Row],[FIELD_VALUE_RAW]]),-1))</f>
        <v>-1</v>
      </c>
      <c r="T70" s="8">
        <v>0</v>
      </c>
      <c r="U70" s="8">
        <v>999999999999</v>
      </c>
      <c r="V70" s="8" t="b">
        <f ca="1">IF(NOT(DB_TBL_DATA_FIELDS[[#This Row],[RANGE_VALIDATION_ON_FLAG]]),TRUE,
AND(DB_TBL_DATA_FIELDS[[#This Row],[RANGE_VALUE_LEN]]&gt;=DB_TBL_DATA_FIELDS[[#This Row],[RANGE_VALIDATION_MIN]],DB_TBL_DATA_FIELDS[[#This Row],[RANGE_VALUE_LEN]]&lt;=DB_TBL_DATA_FIELDS[[#This Row],[RANGE_VALIDATION_MAX]]))</f>
        <v>0</v>
      </c>
      <c r="W70" s="7">
        <v>1</v>
      </c>
      <c r="X70" s="7">
        <f ca="1">IF(DB_TBL_DATA_FIELDS[[#This Row],[PCT_CALC_SHOW_STATUS_CODE]]=1,
DB_TBL_DATA_FIELDS[[#This Row],[FIELD_STATUS_CODE]],
IF(AND(DB_TBL_DATA_FIELDS[[#This Row],[PCT_CALC_SHOW_STATUS_CODE]]=2,DB_TBL_DATA_FIELDS[[#This Row],[FIELD_STATUS_CODE]]=0),
DB_TBL_DATA_FIELDS[[#This Row],[FIELD_STATUS_CODE]],
"")
)</f>
        <v>-1</v>
      </c>
      <c r="Y70" s="69"/>
      <c r="Z70" s="12" t="s">
        <v>2500</v>
      </c>
      <c r="AA70" s="12" t="s">
        <v>2460</v>
      </c>
      <c r="AB70" s="12" t="s">
        <v>2502</v>
      </c>
      <c r="AC70" s="12" t="s">
        <v>2660</v>
      </c>
      <c r="AD70" s="12"/>
      <c r="AE70" s="35"/>
    </row>
    <row r="71" spans="1:31" x14ac:dyDescent="0.3">
      <c r="A71" s="10" t="s">
        <v>2790</v>
      </c>
      <c r="B71" s="7" t="str">
        <f>IFERROR(IF(FIND(DATA_EFORM_TYPE_CODE,DB_TBL_DATA_FIELDS[[#This Row],[APPLICABLE_EFORM_LIST]])&gt;0,DATA_EFORM_TYPE_CODE,""),"")</f>
        <v>AHEAD</v>
      </c>
      <c r="C71" s="4" t="s">
        <v>2479</v>
      </c>
      <c r="D71" s="4" t="b">
        <v>1</v>
      </c>
      <c r="E71" s="42" t="b">
        <f ca="1">IF(PROJECT_TYPE_SELECTION=PROJECT_TYPE_ENTREPRENEURIAL,TRUE,FALSE)</f>
        <v>0</v>
      </c>
      <c r="F71" s="6" t="s">
        <v>2489</v>
      </c>
      <c r="G71" s="34" t="str">
        <f ca="1">IFERROR(VLOOKUP(DB_TBL_DATA_FIELDS[[#This Row],[FIELD_ID]],INDIRECT(DB_TBL_DATA_FIELDS[[#This Row],[SHEET_REF_CALC]]&amp;"!A:B"),2,FALSE),"")</f>
        <v/>
      </c>
      <c r="H71" s="30" t="str">
        <f ca="1">IF(DB_TBL_DATA_FIELDS[[#This Row],[FIELD_EMPTY_FLAG]],"",DB_TBL_DATA_FIELDS[[#This Row],[FIELD_REQ_FLAG]])</f>
        <v/>
      </c>
      <c r="I71" s="6" t="b">
        <f ca="1">(DB_TBL_DATA_FIELDS[[#This Row],[FIELD_VALUE_RAW]]="")</f>
        <v>1</v>
      </c>
      <c r="J71" s="6" t="s">
        <v>40</v>
      </c>
      <c r="K71" s="8" t="b">
        <f ca="1">AND(IF(DB_TBL_DATA_FIELDS[[#This Row],[FIELD_VALID_CUSTOM_LOGIC]]="",TRUE,DB_TBL_DATA_FIELDS[[#This Row],[FIELD_VALID_CUSTOM_LOGIC]]),DB_TBL_DATA_FIELDS[[#This Row],[RANGE_VALIDATION_PASSED_FLAG]])</f>
        <v>0</v>
      </c>
      <c r="L71"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71" s="328">
        <f ca="1">IF(DB_TBL_DATA_FIELDS[[#This Row],[SHEET_REF_CALC]]="","",IF(DB_TBL_DATA_FIELDS[[#This Row],[FIELD_EMPTY_FLAG]],IF(NOT(DB_TBL_DATA_FIELDS[[#This Row],[FIELD_REQ_FLAG]]),-1,1),IF(NOT(DB_TBL_DATA_FIELDS[[#This Row],[FIELD_VALID_FLAG]]),0,2)))</f>
        <v>-1</v>
      </c>
      <c r="N71" s="8" t="str">
        <f ca="1">IFERROR(VLOOKUP(DB_TBL_DATA_FIELDS[[#This Row],[FIELD_STATUS_CODE]],DB_TBL_CONFIG_FIELDSTATUSCODES[#All],3,FALSE),"")</f>
        <v>Optional</v>
      </c>
      <c r="O71" s="8" t="str">
        <f ca="1">IFERROR(VLOOKUP(DB_TBL_DATA_FIELDS[[#This Row],[FIELD_STATUS_CODE]],DB_TBL_CONFIG_FIELDSTATUSCODES[#All],4,FALSE),"")</f>
        <v xml:space="preserve"> </v>
      </c>
      <c r="P71" s="8" t="b">
        <f>TRUE</f>
        <v>1</v>
      </c>
      <c r="Q71" s="8" t="b">
        <v>1</v>
      </c>
      <c r="R71" s="4" t="s">
        <v>40</v>
      </c>
      <c r="S71" s="8">
        <f ca="1">IF(DB_TBL_DATA_FIELDS[[#This Row],[RANGE_VALIDATION_FLAG]]="Text",LEN(DB_TBL_DATA_FIELDS[[#This Row],[FIELD_VALUE_RAW]]),IFERROR(VALUE(DB_TBL_DATA_FIELDS[[#This Row],[FIELD_VALUE_RAW]]),-1))</f>
        <v>-1</v>
      </c>
      <c r="T71" s="8">
        <v>0</v>
      </c>
      <c r="U71" s="8">
        <v>999999999999</v>
      </c>
      <c r="V71" s="8" t="b">
        <f ca="1">IF(NOT(DB_TBL_DATA_FIELDS[[#This Row],[RANGE_VALIDATION_ON_FLAG]]),TRUE,
AND(DB_TBL_DATA_FIELDS[[#This Row],[RANGE_VALUE_LEN]]&gt;=DB_TBL_DATA_FIELDS[[#This Row],[RANGE_VALIDATION_MIN]],DB_TBL_DATA_FIELDS[[#This Row],[RANGE_VALUE_LEN]]&lt;=DB_TBL_DATA_FIELDS[[#This Row],[RANGE_VALIDATION_MAX]]))</f>
        <v>0</v>
      </c>
      <c r="W71" s="7">
        <v>1</v>
      </c>
      <c r="X71" s="7">
        <f ca="1">IF(DB_TBL_DATA_FIELDS[[#This Row],[PCT_CALC_SHOW_STATUS_CODE]]=1,
DB_TBL_DATA_FIELDS[[#This Row],[FIELD_STATUS_CODE]],
IF(AND(DB_TBL_DATA_FIELDS[[#This Row],[PCT_CALC_SHOW_STATUS_CODE]]=2,DB_TBL_DATA_FIELDS[[#This Row],[FIELD_STATUS_CODE]]=0),
DB_TBL_DATA_FIELDS[[#This Row],[FIELD_STATUS_CODE]],
"")
)</f>
        <v>-1</v>
      </c>
      <c r="Y71" s="69"/>
      <c r="Z71" s="12" t="s">
        <v>2293</v>
      </c>
      <c r="AA71" s="12" t="s">
        <v>2460</v>
      </c>
      <c r="AB71" s="12" t="s">
        <v>2501</v>
      </c>
      <c r="AC71" s="12" t="s">
        <v>2660</v>
      </c>
      <c r="AD71" s="12"/>
      <c r="AE71" s="35"/>
    </row>
    <row r="72" spans="1:31" x14ac:dyDescent="0.3">
      <c r="A72" s="10" t="s">
        <v>2790</v>
      </c>
      <c r="B72" s="7" t="str">
        <f>IFERROR(IF(FIND(DATA_EFORM_TYPE_CODE,DB_TBL_DATA_FIELDS[[#This Row],[APPLICABLE_EFORM_LIST]])&gt;0,DATA_EFORM_TYPE_CODE,""),"")</f>
        <v>AHEAD</v>
      </c>
      <c r="C72" s="4" t="s">
        <v>2480</v>
      </c>
      <c r="D72" s="4" t="b">
        <v>1</v>
      </c>
      <c r="E72" s="42" t="b">
        <f ca="1">IF(PROJECT_TYPE_SELECTION=PROJECT_TYPE_ENTREPRENEURIAL,TRUE,FALSE)</f>
        <v>0</v>
      </c>
      <c r="F72" s="6" t="s">
        <v>2490</v>
      </c>
      <c r="G72" s="34" t="str">
        <f ca="1">IFERROR(VLOOKUP(DB_TBL_DATA_FIELDS[[#This Row],[FIELD_ID]],INDIRECT(DB_TBL_DATA_FIELDS[[#This Row],[SHEET_REF_CALC]]&amp;"!A:B"),2,FALSE),"")</f>
        <v/>
      </c>
      <c r="H72" s="30" t="str">
        <f ca="1">IF(DB_TBL_DATA_FIELDS[[#This Row],[FIELD_EMPTY_FLAG]],"",DB_TBL_DATA_FIELDS[[#This Row],[FIELD_REQ_FLAG]])</f>
        <v/>
      </c>
      <c r="I72" s="6" t="b">
        <f ca="1">(DB_TBL_DATA_FIELDS[[#This Row],[FIELD_VALUE_RAW]]="")</f>
        <v>1</v>
      </c>
      <c r="J72" s="6" t="s">
        <v>40</v>
      </c>
      <c r="K72" s="8" t="b">
        <f ca="1">AND(IF(DB_TBL_DATA_FIELDS[[#This Row],[FIELD_VALID_CUSTOM_LOGIC]]="",TRUE,DB_TBL_DATA_FIELDS[[#This Row],[FIELD_VALID_CUSTOM_LOGIC]]),DB_TBL_DATA_FIELDS[[#This Row],[RANGE_VALIDATION_PASSED_FLAG]])</f>
        <v>0</v>
      </c>
      <c r="L72"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72" s="328">
        <f ca="1">IF(DB_TBL_DATA_FIELDS[[#This Row],[SHEET_REF_CALC]]="","",IF(DB_TBL_DATA_FIELDS[[#This Row],[FIELD_EMPTY_FLAG]],IF(NOT(DB_TBL_DATA_FIELDS[[#This Row],[FIELD_REQ_FLAG]]),-1,1),IF(NOT(DB_TBL_DATA_FIELDS[[#This Row],[FIELD_VALID_FLAG]]),0,2)))</f>
        <v>-1</v>
      </c>
      <c r="N72" s="8" t="str">
        <f ca="1">IFERROR(VLOOKUP(DB_TBL_DATA_FIELDS[[#This Row],[FIELD_STATUS_CODE]],DB_TBL_CONFIG_FIELDSTATUSCODES[#All],3,FALSE),"")</f>
        <v>Optional</v>
      </c>
      <c r="O72" s="8" t="str">
        <f ca="1">IFERROR(VLOOKUP(DB_TBL_DATA_FIELDS[[#This Row],[FIELD_STATUS_CODE]],DB_TBL_CONFIG_FIELDSTATUSCODES[#All],4,FALSE),"")</f>
        <v xml:space="preserve"> </v>
      </c>
      <c r="P72" s="8" t="b">
        <f>TRUE</f>
        <v>1</v>
      </c>
      <c r="Q72" s="8" t="b">
        <v>1</v>
      </c>
      <c r="R72" s="4" t="s">
        <v>40</v>
      </c>
      <c r="S72" s="8">
        <f ca="1">IF(DB_TBL_DATA_FIELDS[[#This Row],[RANGE_VALIDATION_FLAG]]="Text",LEN(DB_TBL_DATA_FIELDS[[#This Row],[FIELD_VALUE_RAW]]),IFERROR(VALUE(DB_TBL_DATA_FIELDS[[#This Row],[FIELD_VALUE_RAW]]),-1))</f>
        <v>-1</v>
      </c>
      <c r="T72" s="8">
        <v>0</v>
      </c>
      <c r="U72" s="8">
        <v>999999999999</v>
      </c>
      <c r="V72" s="8" t="b">
        <f ca="1">IF(NOT(DB_TBL_DATA_FIELDS[[#This Row],[RANGE_VALIDATION_ON_FLAG]]),TRUE,
AND(DB_TBL_DATA_FIELDS[[#This Row],[RANGE_VALUE_LEN]]&gt;=DB_TBL_DATA_FIELDS[[#This Row],[RANGE_VALIDATION_MIN]],DB_TBL_DATA_FIELDS[[#This Row],[RANGE_VALUE_LEN]]&lt;=DB_TBL_DATA_FIELDS[[#This Row],[RANGE_VALIDATION_MAX]]))</f>
        <v>0</v>
      </c>
      <c r="W72" s="7">
        <v>1</v>
      </c>
      <c r="X72" s="7">
        <f ca="1">IF(DB_TBL_DATA_FIELDS[[#This Row],[PCT_CALC_SHOW_STATUS_CODE]]=1,
DB_TBL_DATA_FIELDS[[#This Row],[FIELD_STATUS_CODE]],
IF(AND(DB_TBL_DATA_FIELDS[[#This Row],[PCT_CALC_SHOW_STATUS_CODE]]=2,DB_TBL_DATA_FIELDS[[#This Row],[FIELD_STATUS_CODE]]=0),
DB_TBL_DATA_FIELDS[[#This Row],[FIELD_STATUS_CODE]],
"")
)</f>
        <v>-1</v>
      </c>
      <c r="Y72" s="69"/>
      <c r="Z72" s="12" t="s">
        <v>2294</v>
      </c>
      <c r="AA72" s="12" t="s">
        <v>2460</v>
      </c>
      <c r="AB72" s="12" t="s">
        <v>2502</v>
      </c>
      <c r="AC72" s="12" t="s">
        <v>2660</v>
      </c>
      <c r="AD72" s="12"/>
      <c r="AE72" s="35"/>
    </row>
    <row r="73" spans="1:31" x14ac:dyDescent="0.3">
      <c r="A73" s="10" t="s">
        <v>2790</v>
      </c>
      <c r="B73" s="7" t="str">
        <f>IFERROR(IF(FIND(DATA_EFORM_TYPE_CODE,DB_TBL_DATA_FIELDS[[#This Row],[APPLICABLE_EFORM_LIST]])&gt;0,DATA_EFORM_TYPE_CODE,""),"")</f>
        <v>AHEAD</v>
      </c>
      <c r="C73" s="4" t="s">
        <v>2483</v>
      </c>
      <c r="D73" s="4" t="b">
        <v>1</v>
      </c>
      <c r="E73" s="42" t="b">
        <f ca="1">IF(PROJECT_TYPE_SELECTION=PROJECT_TYPE_FINCLEDU,TRUE,FALSE)</f>
        <v>0</v>
      </c>
      <c r="F73" s="6" t="s">
        <v>2491</v>
      </c>
      <c r="G73" s="34" t="str">
        <f ca="1">IFERROR(VLOOKUP(DB_TBL_DATA_FIELDS[[#This Row],[FIELD_ID]],INDIRECT(DB_TBL_DATA_FIELDS[[#This Row],[SHEET_REF_CALC]]&amp;"!A:B"),2,FALSE),"")</f>
        <v/>
      </c>
      <c r="H73" s="30" t="str">
        <f ca="1">IF(DB_TBL_DATA_FIELDS[[#This Row],[FIELD_EMPTY_FLAG]],"",DB_TBL_DATA_FIELDS[[#This Row],[FIELD_REQ_FLAG]])</f>
        <v/>
      </c>
      <c r="I73" s="6" t="b">
        <f ca="1">(DB_TBL_DATA_FIELDS[[#This Row],[FIELD_VALUE_RAW]]="")</f>
        <v>1</v>
      </c>
      <c r="J73" s="6" t="s">
        <v>40</v>
      </c>
      <c r="K73" s="8" t="b">
        <f ca="1">AND(IF(DB_TBL_DATA_FIELDS[[#This Row],[FIELD_VALID_CUSTOM_LOGIC]]="",TRUE,DB_TBL_DATA_FIELDS[[#This Row],[FIELD_VALID_CUSTOM_LOGIC]]),DB_TBL_DATA_FIELDS[[#This Row],[RANGE_VALIDATION_PASSED_FLAG]])</f>
        <v>0</v>
      </c>
      <c r="L73"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73" s="328">
        <f ca="1">IF(DB_TBL_DATA_FIELDS[[#This Row],[SHEET_REF_CALC]]="","",IF(DB_TBL_DATA_FIELDS[[#This Row],[FIELD_EMPTY_FLAG]],IF(NOT(DB_TBL_DATA_FIELDS[[#This Row],[FIELD_REQ_FLAG]]),-1,1),IF(NOT(DB_TBL_DATA_FIELDS[[#This Row],[FIELD_VALID_FLAG]]),0,2)))</f>
        <v>-1</v>
      </c>
      <c r="N73" s="8" t="str">
        <f ca="1">IFERROR(VLOOKUP(DB_TBL_DATA_FIELDS[[#This Row],[FIELD_STATUS_CODE]],DB_TBL_CONFIG_FIELDSTATUSCODES[#All],3,FALSE),"")</f>
        <v>Optional</v>
      </c>
      <c r="O73" s="8" t="str">
        <f ca="1">IFERROR(VLOOKUP(DB_TBL_DATA_FIELDS[[#This Row],[FIELD_STATUS_CODE]],DB_TBL_CONFIG_FIELDSTATUSCODES[#All],4,FALSE),"")</f>
        <v xml:space="preserve"> </v>
      </c>
      <c r="P73" s="8" t="b">
        <f>TRUE</f>
        <v>1</v>
      </c>
      <c r="Q73" s="8" t="b">
        <v>1</v>
      </c>
      <c r="R73" s="4" t="s">
        <v>40</v>
      </c>
      <c r="S73" s="8">
        <f ca="1">IF(DB_TBL_DATA_FIELDS[[#This Row],[RANGE_VALIDATION_FLAG]]="Text",LEN(DB_TBL_DATA_FIELDS[[#This Row],[FIELD_VALUE_RAW]]),IFERROR(VALUE(DB_TBL_DATA_FIELDS[[#This Row],[FIELD_VALUE_RAW]]),-1))</f>
        <v>-1</v>
      </c>
      <c r="T73" s="8">
        <v>0</v>
      </c>
      <c r="U73" s="8">
        <v>999999999999</v>
      </c>
      <c r="V73" s="8" t="b">
        <f ca="1">IF(NOT(DB_TBL_DATA_FIELDS[[#This Row],[RANGE_VALIDATION_ON_FLAG]]),TRUE,
AND(DB_TBL_DATA_FIELDS[[#This Row],[RANGE_VALUE_LEN]]&gt;=DB_TBL_DATA_FIELDS[[#This Row],[RANGE_VALIDATION_MIN]],DB_TBL_DATA_FIELDS[[#This Row],[RANGE_VALUE_LEN]]&lt;=DB_TBL_DATA_FIELDS[[#This Row],[RANGE_VALIDATION_MAX]]))</f>
        <v>0</v>
      </c>
      <c r="W73" s="7">
        <v>1</v>
      </c>
      <c r="X73" s="7">
        <f ca="1">IF(DB_TBL_DATA_FIELDS[[#This Row],[PCT_CALC_SHOW_STATUS_CODE]]=1,
DB_TBL_DATA_FIELDS[[#This Row],[FIELD_STATUS_CODE]],
IF(AND(DB_TBL_DATA_FIELDS[[#This Row],[PCT_CALC_SHOW_STATUS_CODE]]=2,DB_TBL_DATA_FIELDS[[#This Row],[FIELD_STATUS_CODE]]=0),
DB_TBL_DATA_FIELDS[[#This Row],[FIELD_STATUS_CODE]],
"")
)</f>
        <v>-1</v>
      </c>
      <c r="Y73" s="69"/>
      <c r="Z73" s="12" t="s">
        <v>2295</v>
      </c>
      <c r="AA73" s="12" t="s">
        <v>2460</v>
      </c>
      <c r="AB73" s="12" t="s">
        <v>2501</v>
      </c>
      <c r="AC73" s="12" t="s">
        <v>2660</v>
      </c>
      <c r="AD73" s="12"/>
      <c r="AE73" s="35"/>
    </row>
    <row r="74" spans="1:31" x14ac:dyDescent="0.3">
      <c r="A74" s="10" t="s">
        <v>2790</v>
      </c>
      <c r="B74" s="7" t="str">
        <f>IFERROR(IF(FIND(DATA_EFORM_TYPE_CODE,DB_TBL_DATA_FIELDS[[#This Row],[APPLICABLE_EFORM_LIST]])&gt;0,DATA_EFORM_TYPE_CODE,""),"")</f>
        <v>AHEAD</v>
      </c>
      <c r="C74" s="4" t="s">
        <v>2484</v>
      </c>
      <c r="D74" s="4" t="b">
        <v>1</v>
      </c>
      <c r="E74" s="42" t="b">
        <f ca="1">IF(PROJECT_TYPE_SELECTION=PROJECT_TYPE_FINCLEDU,TRUE,FALSE)</f>
        <v>0</v>
      </c>
      <c r="F74" s="6" t="s">
        <v>2492</v>
      </c>
      <c r="G74" s="34" t="str">
        <f ca="1">IFERROR(VLOOKUP(DB_TBL_DATA_FIELDS[[#This Row],[FIELD_ID]],INDIRECT(DB_TBL_DATA_FIELDS[[#This Row],[SHEET_REF_CALC]]&amp;"!A:B"),2,FALSE),"")</f>
        <v/>
      </c>
      <c r="H74" s="30" t="str">
        <f ca="1">IF(DB_TBL_DATA_FIELDS[[#This Row],[FIELD_EMPTY_FLAG]],"",DB_TBL_DATA_FIELDS[[#This Row],[FIELD_REQ_FLAG]])</f>
        <v/>
      </c>
      <c r="I74" s="6" t="b">
        <f ca="1">(DB_TBL_DATA_FIELDS[[#This Row],[FIELD_VALUE_RAW]]="")</f>
        <v>1</v>
      </c>
      <c r="J74" s="6" t="s">
        <v>40</v>
      </c>
      <c r="K74" s="8" t="b">
        <f ca="1">AND(IF(DB_TBL_DATA_FIELDS[[#This Row],[FIELD_VALID_CUSTOM_LOGIC]]="",TRUE,DB_TBL_DATA_FIELDS[[#This Row],[FIELD_VALID_CUSTOM_LOGIC]]),DB_TBL_DATA_FIELDS[[#This Row],[RANGE_VALIDATION_PASSED_FLAG]])</f>
        <v>0</v>
      </c>
      <c r="L74"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74" s="328">
        <f ca="1">IF(DB_TBL_DATA_FIELDS[[#This Row],[SHEET_REF_CALC]]="","",IF(DB_TBL_DATA_FIELDS[[#This Row],[FIELD_EMPTY_FLAG]],IF(NOT(DB_TBL_DATA_FIELDS[[#This Row],[FIELD_REQ_FLAG]]),-1,1),IF(NOT(DB_TBL_DATA_FIELDS[[#This Row],[FIELD_VALID_FLAG]]),0,2)))</f>
        <v>-1</v>
      </c>
      <c r="N74" s="8" t="str">
        <f ca="1">IFERROR(VLOOKUP(DB_TBL_DATA_FIELDS[[#This Row],[FIELD_STATUS_CODE]],DB_TBL_CONFIG_FIELDSTATUSCODES[#All],3,FALSE),"")</f>
        <v>Optional</v>
      </c>
      <c r="O74" s="8" t="str">
        <f ca="1">IFERROR(VLOOKUP(DB_TBL_DATA_FIELDS[[#This Row],[FIELD_STATUS_CODE]],DB_TBL_CONFIG_FIELDSTATUSCODES[#All],4,FALSE),"")</f>
        <v xml:space="preserve"> </v>
      </c>
      <c r="P74" s="8" t="b">
        <f>TRUE</f>
        <v>1</v>
      </c>
      <c r="Q74" s="8" t="b">
        <v>1</v>
      </c>
      <c r="R74" s="4" t="s">
        <v>40</v>
      </c>
      <c r="S74" s="8">
        <f ca="1">IF(DB_TBL_DATA_FIELDS[[#This Row],[RANGE_VALIDATION_FLAG]]="Text",LEN(DB_TBL_DATA_FIELDS[[#This Row],[FIELD_VALUE_RAW]]),IFERROR(VALUE(DB_TBL_DATA_FIELDS[[#This Row],[FIELD_VALUE_RAW]]),-1))</f>
        <v>-1</v>
      </c>
      <c r="T74" s="8">
        <v>0</v>
      </c>
      <c r="U74" s="8">
        <v>999999999999</v>
      </c>
      <c r="V74" s="8" t="b">
        <f ca="1">IF(NOT(DB_TBL_DATA_FIELDS[[#This Row],[RANGE_VALIDATION_ON_FLAG]]),TRUE,
AND(DB_TBL_DATA_FIELDS[[#This Row],[RANGE_VALUE_LEN]]&gt;=DB_TBL_DATA_FIELDS[[#This Row],[RANGE_VALIDATION_MIN]],DB_TBL_DATA_FIELDS[[#This Row],[RANGE_VALUE_LEN]]&lt;=DB_TBL_DATA_FIELDS[[#This Row],[RANGE_VALIDATION_MAX]]))</f>
        <v>0</v>
      </c>
      <c r="W74" s="7">
        <v>1</v>
      </c>
      <c r="X74" s="7">
        <f ca="1">IF(DB_TBL_DATA_FIELDS[[#This Row],[PCT_CALC_SHOW_STATUS_CODE]]=1,
DB_TBL_DATA_FIELDS[[#This Row],[FIELD_STATUS_CODE]],
IF(AND(DB_TBL_DATA_FIELDS[[#This Row],[PCT_CALC_SHOW_STATUS_CODE]]=2,DB_TBL_DATA_FIELDS[[#This Row],[FIELD_STATUS_CODE]]=0),
DB_TBL_DATA_FIELDS[[#This Row],[FIELD_STATUS_CODE]],
"")
)</f>
        <v>-1</v>
      </c>
      <c r="Y74" s="69"/>
      <c r="Z74" s="12" t="s">
        <v>2296</v>
      </c>
      <c r="AA74" s="12" t="s">
        <v>2460</v>
      </c>
      <c r="AB74" s="12" t="s">
        <v>2502</v>
      </c>
      <c r="AC74" s="12" t="s">
        <v>2660</v>
      </c>
      <c r="AD74" s="12"/>
      <c r="AE74" s="35"/>
    </row>
    <row r="75" spans="1:31" x14ac:dyDescent="0.3">
      <c r="A75" s="10" t="s">
        <v>2790</v>
      </c>
      <c r="B75" s="7" t="str">
        <f>IFERROR(IF(FIND(DATA_EFORM_TYPE_CODE,DB_TBL_DATA_FIELDS[[#This Row],[APPLICABLE_EFORM_LIST]])&gt;0,DATA_EFORM_TYPE_CODE,""),"")</f>
        <v>AHEAD</v>
      </c>
      <c r="C75" s="4" t="s">
        <v>2485</v>
      </c>
      <c r="D75" s="4" t="b">
        <v>1</v>
      </c>
      <c r="E75" s="42" t="b">
        <f ca="1">IF(PROJECT_TYPE_SELECTION=PROJECT_TYPE_JOBTRAINING,TRUE,FALSE)</f>
        <v>0</v>
      </c>
      <c r="F75" s="6" t="s">
        <v>2493</v>
      </c>
      <c r="G75" s="34" t="str">
        <f ca="1">IFERROR(VLOOKUP(DB_TBL_DATA_FIELDS[[#This Row],[FIELD_ID]],INDIRECT(DB_TBL_DATA_FIELDS[[#This Row],[SHEET_REF_CALC]]&amp;"!A:B"),2,FALSE),"")</f>
        <v/>
      </c>
      <c r="H75" s="30" t="str">
        <f ca="1">IF(DB_TBL_DATA_FIELDS[[#This Row],[FIELD_EMPTY_FLAG]],"",DB_TBL_DATA_FIELDS[[#This Row],[FIELD_REQ_FLAG]])</f>
        <v/>
      </c>
      <c r="I75" s="6" t="b">
        <f ca="1">(DB_TBL_DATA_FIELDS[[#This Row],[FIELD_VALUE_RAW]]="")</f>
        <v>1</v>
      </c>
      <c r="J75" s="6" t="s">
        <v>40</v>
      </c>
      <c r="K75" s="8" t="b">
        <f ca="1">AND(IF(DB_TBL_DATA_FIELDS[[#This Row],[FIELD_VALID_CUSTOM_LOGIC]]="",TRUE,DB_TBL_DATA_FIELDS[[#This Row],[FIELD_VALID_CUSTOM_LOGIC]]),DB_TBL_DATA_FIELDS[[#This Row],[RANGE_VALIDATION_PASSED_FLAG]])</f>
        <v>0</v>
      </c>
      <c r="L75"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75" s="328">
        <f ca="1">IF(DB_TBL_DATA_FIELDS[[#This Row],[SHEET_REF_CALC]]="","",IF(DB_TBL_DATA_FIELDS[[#This Row],[FIELD_EMPTY_FLAG]],IF(NOT(DB_TBL_DATA_FIELDS[[#This Row],[FIELD_REQ_FLAG]]),-1,1),IF(NOT(DB_TBL_DATA_FIELDS[[#This Row],[FIELD_VALID_FLAG]]),0,2)))</f>
        <v>-1</v>
      </c>
      <c r="N75" s="8" t="str">
        <f ca="1">IFERROR(VLOOKUP(DB_TBL_DATA_FIELDS[[#This Row],[FIELD_STATUS_CODE]],DB_TBL_CONFIG_FIELDSTATUSCODES[#All],3,FALSE),"")</f>
        <v>Optional</v>
      </c>
      <c r="O75" s="8" t="str">
        <f ca="1">IFERROR(VLOOKUP(DB_TBL_DATA_FIELDS[[#This Row],[FIELD_STATUS_CODE]],DB_TBL_CONFIG_FIELDSTATUSCODES[#All],4,FALSE),"")</f>
        <v xml:space="preserve"> </v>
      </c>
      <c r="P75" s="8" t="b">
        <f>TRUE</f>
        <v>1</v>
      </c>
      <c r="Q75" s="8" t="b">
        <v>1</v>
      </c>
      <c r="R75" s="4" t="s">
        <v>40</v>
      </c>
      <c r="S75" s="8">
        <f ca="1">IF(DB_TBL_DATA_FIELDS[[#This Row],[RANGE_VALIDATION_FLAG]]="Text",LEN(DB_TBL_DATA_FIELDS[[#This Row],[FIELD_VALUE_RAW]]),IFERROR(VALUE(DB_TBL_DATA_FIELDS[[#This Row],[FIELD_VALUE_RAW]]),-1))</f>
        <v>-1</v>
      </c>
      <c r="T75" s="8">
        <v>0</v>
      </c>
      <c r="U75" s="8">
        <v>999999999999</v>
      </c>
      <c r="V75" s="8" t="b">
        <f ca="1">IF(NOT(DB_TBL_DATA_FIELDS[[#This Row],[RANGE_VALIDATION_ON_FLAG]]),TRUE,
AND(DB_TBL_DATA_FIELDS[[#This Row],[RANGE_VALUE_LEN]]&gt;=DB_TBL_DATA_FIELDS[[#This Row],[RANGE_VALIDATION_MIN]],DB_TBL_DATA_FIELDS[[#This Row],[RANGE_VALUE_LEN]]&lt;=DB_TBL_DATA_FIELDS[[#This Row],[RANGE_VALIDATION_MAX]]))</f>
        <v>0</v>
      </c>
      <c r="W75" s="7">
        <v>1</v>
      </c>
      <c r="X75" s="7">
        <f ca="1">IF(DB_TBL_DATA_FIELDS[[#This Row],[PCT_CALC_SHOW_STATUS_CODE]]=1,
DB_TBL_DATA_FIELDS[[#This Row],[FIELD_STATUS_CODE]],
IF(AND(DB_TBL_DATA_FIELDS[[#This Row],[PCT_CALC_SHOW_STATUS_CODE]]=2,DB_TBL_DATA_FIELDS[[#This Row],[FIELD_STATUS_CODE]]=0),
DB_TBL_DATA_FIELDS[[#This Row],[FIELD_STATUS_CODE]],
"")
)</f>
        <v>-1</v>
      </c>
      <c r="Y75" s="69"/>
      <c r="Z75" s="12" t="s">
        <v>2297</v>
      </c>
      <c r="AA75" s="12" t="s">
        <v>2460</v>
      </c>
      <c r="AB75" s="12" t="s">
        <v>2501</v>
      </c>
      <c r="AC75" s="12" t="s">
        <v>2660</v>
      </c>
      <c r="AD75" s="12"/>
      <c r="AE75" s="35"/>
    </row>
    <row r="76" spans="1:31" x14ac:dyDescent="0.3">
      <c r="A76" s="10" t="s">
        <v>2790</v>
      </c>
      <c r="B76" s="7" t="str">
        <f>IFERROR(IF(FIND(DATA_EFORM_TYPE_CODE,DB_TBL_DATA_FIELDS[[#This Row],[APPLICABLE_EFORM_LIST]])&gt;0,DATA_EFORM_TYPE_CODE,""),"")</f>
        <v>AHEAD</v>
      </c>
      <c r="C76" s="4" t="s">
        <v>2486</v>
      </c>
      <c r="D76" s="4" t="b">
        <v>1</v>
      </c>
      <c r="E76" s="42" t="b">
        <f ca="1">IF(PROJECT_TYPE_SELECTION=PROJECT_TYPE_JOBTRAINING,TRUE,FALSE)</f>
        <v>0</v>
      </c>
      <c r="F76" s="6" t="s">
        <v>2494</v>
      </c>
      <c r="G76" s="34" t="str">
        <f ca="1">IFERROR(VLOOKUP(DB_TBL_DATA_FIELDS[[#This Row],[FIELD_ID]],INDIRECT(DB_TBL_DATA_FIELDS[[#This Row],[SHEET_REF_CALC]]&amp;"!A:B"),2,FALSE),"")</f>
        <v/>
      </c>
      <c r="H76" s="30" t="str">
        <f ca="1">IF(DB_TBL_DATA_FIELDS[[#This Row],[FIELD_EMPTY_FLAG]],"",DB_TBL_DATA_FIELDS[[#This Row],[FIELD_REQ_FLAG]])</f>
        <v/>
      </c>
      <c r="I76" s="6" t="b">
        <f ca="1">(DB_TBL_DATA_FIELDS[[#This Row],[FIELD_VALUE_RAW]]="")</f>
        <v>1</v>
      </c>
      <c r="J76" s="6" t="s">
        <v>40</v>
      </c>
      <c r="K76" s="8" t="b">
        <f ca="1">AND(IF(DB_TBL_DATA_FIELDS[[#This Row],[FIELD_VALID_CUSTOM_LOGIC]]="",TRUE,DB_TBL_DATA_FIELDS[[#This Row],[FIELD_VALID_CUSTOM_LOGIC]]),DB_TBL_DATA_FIELDS[[#This Row],[RANGE_VALIDATION_PASSED_FLAG]])</f>
        <v>0</v>
      </c>
      <c r="L76"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76" s="328">
        <f ca="1">IF(DB_TBL_DATA_FIELDS[[#This Row],[SHEET_REF_CALC]]="","",IF(DB_TBL_DATA_FIELDS[[#This Row],[FIELD_EMPTY_FLAG]],IF(NOT(DB_TBL_DATA_FIELDS[[#This Row],[FIELD_REQ_FLAG]]),-1,1),IF(NOT(DB_TBL_DATA_FIELDS[[#This Row],[FIELD_VALID_FLAG]]),0,2)))</f>
        <v>-1</v>
      </c>
      <c r="N76" s="8" t="str">
        <f ca="1">IFERROR(VLOOKUP(DB_TBL_DATA_FIELDS[[#This Row],[FIELD_STATUS_CODE]],DB_TBL_CONFIG_FIELDSTATUSCODES[#All],3,FALSE),"")</f>
        <v>Optional</v>
      </c>
      <c r="O76" s="8" t="str">
        <f ca="1">IFERROR(VLOOKUP(DB_TBL_DATA_FIELDS[[#This Row],[FIELD_STATUS_CODE]],DB_TBL_CONFIG_FIELDSTATUSCODES[#All],4,FALSE),"")</f>
        <v xml:space="preserve"> </v>
      </c>
      <c r="P76" s="8" t="b">
        <f>TRUE</f>
        <v>1</v>
      </c>
      <c r="Q76" s="8" t="b">
        <v>1</v>
      </c>
      <c r="R76" s="4" t="s">
        <v>40</v>
      </c>
      <c r="S76" s="8">
        <f ca="1">IF(DB_TBL_DATA_FIELDS[[#This Row],[RANGE_VALIDATION_FLAG]]="Text",LEN(DB_TBL_DATA_FIELDS[[#This Row],[FIELD_VALUE_RAW]]),IFERROR(VALUE(DB_TBL_DATA_FIELDS[[#This Row],[FIELD_VALUE_RAW]]),-1))</f>
        <v>-1</v>
      </c>
      <c r="T76" s="8">
        <v>0</v>
      </c>
      <c r="U76" s="8">
        <v>999999999999</v>
      </c>
      <c r="V76" s="8" t="b">
        <f ca="1">IF(NOT(DB_TBL_DATA_FIELDS[[#This Row],[RANGE_VALIDATION_ON_FLAG]]),TRUE,
AND(DB_TBL_DATA_FIELDS[[#This Row],[RANGE_VALUE_LEN]]&gt;=DB_TBL_DATA_FIELDS[[#This Row],[RANGE_VALIDATION_MIN]],DB_TBL_DATA_FIELDS[[#This Row],[RANGE_VALUE_LEN]]&lt;=DB_TBL_DATA_FIELDS[[#This Row],[RANGE_VALIDATION_MAX]]))</f>
        <v>0</v>
      </c>
      <c r="W76" s="7">
        <v>1</v>
      </c>
      <c r="X76" s="7">
        <f ca="1">IF(DB_TBL_DATA_FIELDS[[#This Row],[PCT_CALC_SHOW_STATUS_CODE]]=1,
DB_TBL_DATA_FIELDS[[#This Row],[FIELD_STATUS_CODE]],
IF(AND(DB_TBL_DATA_FIELDS[[#This Row],[PCT_CALC_SHOW_STATUS_CODE]]=2,DB_TBL_DATA_FIELDS[[#This Row],[FIELD_STATUS_CODE]]=0),
DB_TBL_DATA_FIELDS[[#This Row],[FIELD_STATUS_CODE]],
"")
)</f>
        <v>-1</v>
      </c>
      <c r="Y76" s="69"/>
      <c r="Z76" s="12" t="s">
        <v>2298</v>
      </c>
      <c r="AA76" s="12" t="s">
        <v>2460</v>
      </c>
      <c r="AB76" s="12" t="s">
        <v>2502</v>
      </c>
      <c r="AC76" s="12" t="s">
        <v>2660</v>
      </c>
      <c r="AD76" s="12"/>
      <c r="AE76" s="35"/>
    </row>
    <row r="77" spans="1:31" x14ac:dyDescent="0.3">
      <c r="A77" s="10" t="s">
        <v>2790</v>
      </c>
      <c r="B77" s="7" t="str">
        <f>IFERROR(IF(FIND(DATA_EFORM_TYPE_CODE,DB_TBL_DATA_FIELDS[[#This Row],[APPLICABLE_EFORM_LIST]])&gt;0,DATA_EFORM_TYPE_CODE,""),"")</f>
        <v>AHEAD</v>
      </c>
      <c r="C77" s="4" t="s">
        <v>2497</v>
      </c>
      <c r="D77" s="4" t="b">
        <v>1</v>
      </c>
      <c r="E77" s="42" t="b">
        <f ca="1">IF(PROJECT_TYPE_SELECTION=PROJECT_TYPE_TECHASSIST,TRUE,FALSE)</f>
        <v>0</v>
      </c>
      <c r="F77" s="6" t="s">
        <v>2495</v>
      </c>
      <c r="G77" s="34" t="str">
        <f ca="1">IFERROR(VLOOKUP(DB_TBL_DATA_FIELDS[[#This Row],[FIELD_ID]],INDIRECT(DB_TBL_DATA_FIELDS[[#This Row],[SHEET_REF_CALC]]&amp;"!A:B"),2,FALSE),"")</f>
        <v/>
      </c>
      <c r="H77" s="30" t="str">
        <f ca="1">IF(DB_TBL_DATA_FIELDS[[#This Row],[FIELD_EMPTY_FLAG]],"",DB_TBL_DATA_FIELDS[[#This Row],[FIELD_REQ_FLAG]])</f>
        <v/>
      </c>
      <c r="I77" s="6" t="b">
        <f ca="1">(DB_TBL_DATA_FIELDS[[#This Row],[FIELD_VALUE_RAW]]="")</f>
        <v>1</v>
      </c>
      <c r="J77" s="6" t="s">
        <v>40</v>
      </c>
      <c r="K77" s="8" t="b">
        <f ca="1">AND(IF(DB_TBL_DATA_FIELDS[[#This Row],[FIELD_VALID_CUSTOM_LOGIC]]="",TRUE,DB_TBL_DATA_FIELDS[[#This Row],[FIELD_VALID_CUSTOM_LOGIC]]),DB_TBL_DATA_FIELDS[[#This Row],[RANGE_VALIDATION_PASSED_FLAG]])</f>
        <v>0</v>
      </c>
      <c r="L77"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77" s="328">
        <f ca="1">IF(DB_TBL_DATA_FIELDS[[#This Row],[SHEET_REF_CALC]]="","",IF(DB_TBL_DATA_FIELDS[[#This Row],[FIELD_EMPTY_FLAG]],IF(NOT(DB_TBL_DATA_FIELDS[[#This Row],[FIELD_REQ_FLAG]]),-1,1),IF(NOT(DB_TBL_DATA_FIELDS[[#This Row],[FIELD_VALID_FLAG]]),0,2)))</f>
        <v>-1</v>
      </c>
      <c r="N77" s="8" t="str">
        <f ca="1">IFERROR(VLOOKUP(DB_TBL_DATA_FIELDS[[#This Row],[FIELD_STATUS_CODE]],DB_TBL_CONFIG_FIELDSTATUSCODES[#All],3,FALSE),"")</f>
        <v>Optional</v>
      </c>
      <c r="O77" s="8" t="str">
        <f ca="1">IFERROR(VLOOKUP(DB_TBL_DATA_FIELDS[[#This Row],[FIELD_STATUS_CODE]],DB_TBL_CONFIG_FIELDSTATUSCODES[#All],4,FALSE),"")</f>
        <v xml:space="preserve"> </v>
      </c>
      <c r="P77" s="8" t="b">
        <f>TRUE</f>
        <v>1</v>
      </c>
      <c r="Q77" s="8" t="b">
        <v>1</v>
      </c>
      <c r="R77" s="4" t="s">
        <v>40</v>
      </c>
      <c r="S77" s="8">
        <f ca="1">IF(DB_TBL_DATA_FIELDS[[#This Row],[RANGE_VALIDATION_FLAG]]="Text",LEN(DB_TBL_DATA_FIELDS[[#This Row],[FIELD_VALUE_RAW]]),IFERROR(VALUE(DB_TBL_DATA_FIELDS[[#This Row],[FIELD_VALUE_RAW]]),-1))</f>
        <v>-1</v>
      </c>
      <c r="T77" s="8">
        <v>0</v>
      </c>
      <c r="U77" s="8">
        <v>999999999999</v>
      </c>
      <c r="V77" s="8" t="b">
        <f ca="1">IF(NOT(DB_TBL_DATA_FIELDS[[#This Row],[RANGE_VALIDATION_ON_FLAG]]),TRUE,
AND(DB_TBL_DATA_FIELDS[[#This Row],[RANGE_VALUE_LEN]]&gt;=DB_TBL_DATA_FIELDS[[#This Row],[RANGE_VALIDATION_MIN]],DB_TBL_DATA_FIELDS[[#This Row],[RANGE_VALUE_LEN]]&lt;=DB_TBL_DATA_FIELDS[[#This Row],[RANGE_VALIDATION_MAX]]))</f>
        <v>0</v>
      </c>
      <c r="W77" s="7">
        <v>1</v>
      </c>
      <c r="X77" s="7">
        <f ca="1">IF(DB_TBL_DATA_FIELDS[[#This Row],[PCT_CALC_SHOW_STATUS_CODE]]=1,
DB_TBL_DATA_FIELDS[[#This Row],[FIELD_STATUS_CODE]],
IF(AND(DB_TBL_DATA_FIELDS[[#This Row],[PCT_CALC_SHOW_STATUS_CODE]]=2,DB_TBL_DATA_FIELDS[[#This Row],[FIELD_STATUS_CODE]]=0),
DB_TBL_DATA_FIELDS[[#This Row],[FIELD_STATUS_CODE]],
"")
)</f>
        <v>-1</v>
      </c>
      <c r="Y77" s="69"/>
      <c r="Z77" s="12" t="s">
        <v>2302</v>
      </c>
      <c r="AA77" s="12" t="s">
        <v>2460</v>
      </c>
      <c r="AB77" s="12" t="s">
        <v>2501</v>
      </c>
      <c r="AC77" s="12" t="s">
        <v>2660</v>
      </c>
      <c r="AD77" s="12"/>
      <c r="AE77" s="35"/>
    </row>
    <row r="78" spans="1:31" x14ac:dyDescent="0.3">
      <c r="A78" s="10" t="s">
        <v>2790</v>
      </c>
      <c r="B78" s="7" t="str">
        <f>IFERROR(IF(FIND(DATA_EFORM_TYPE_CODE,DB_TBL_DATA_FIELDS[[#This Row],[APPLICABLE_EFORM_LIST]])&gt;0,DATA_EFORM_TYPE_CODE,""),"")</f>
        <v>AHEAD</v>
      </c>
      <c r="C78" s="4" t="s">
        <v>2498</v>
      </c>
      <c r="D78" s="4" t="b">
        <v>1</v>
      </c>
      <c r="E78" s="42" t="b">
        <f ca="1">IF(PROJECT_TYPE_SELECTION=PROJECT_TYPE_TECHASSIST,TRUE,FALSE)</f>
        <v>0</v>
      </c>
      <c r="F78" s="6" t="s">
        <v>2496</v>
      </c>
      <c r="G78" s="34" t="str">
        <f ca="1">IFERROR(VLOOKUP(DB_TBL_DATA_FIELDS[[#This Row],[FIELD_ID]],INDIRECT(DB_TBL_DATA_FIELDS[[#This Row],[SHEET_REF_CALC]]&amp;"!A:B"),2,FALSE),"")</f>
        <v/>
      </c>
      <c r="H78" s="30" t="str">
        <f ca="1">IF(DB_TBL_DATA_FIELDS[[#This Row],[FIELD_EMPTY_FLAG]],"",DB_TBL_DATA_FIELDS[[#This Row],[FIELD_REQ_FLAG]])</f>
        <v/>
      </c>
      <c r="I78" s="6" t="b">
        <f ca="1">(DB_TBL_DATA_FIELDS[[#This Row],[FIELD_VALUE_RAW]]="")</f>
        <v>1</v>
      </c>
      <c r="J78" s="6" t="s">
        <v>40</v>
      </c>
      <c r="K78" s="8" t="b">
        <f ca="1">AND(IF(DB_TBL_DATA_FIELDS[[#This Row],[FIELD_VALID_CUSTOM_LOGIC]]="",TRUE,DB_TBL_DATA_FIELDS[[#This Row],[FIELD_VALID_CUSTOM_LOGIC]]),DB_TBL_DATA_FIELDS[[#This Row],[RANGE_VALIDATION_PASSED_FLAG]])</f>
        <v>0</v>
      </c>
      <c r="L78"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78" s="328">
        <f ca="1">IF(DB_TBL_DATA_FIELDS[[#This Row],[SHEET_REF_CALC]]="","",IF(DB_TBL_DATA_FIELDS[[#This Row],[FIELD_EMPTY_FLAG]],IF(NOT(DB_TBL_DATA_FIELDS[[#This Row],[FIELD_REQ_FLAG]]),-1,1),IF(NOT(DB_TBL_DATA_FIELDS[[#This Row],[FIELD_VALID_FLAG]]),0,2)))</f>
        <v>-1</v>
      </c>
      <c r="N78" s="8" t="str">
        <f ca="1">IFERROR(VLOOKUP(DB_TBL_DATA_FIELDS[[#This Row],[FIELD_STATUS_CODE]],DB_TBL_CONFIG_FIELDSTATUSCODES[#All],3,FALSE),"")</f>
        <v>Optional</v>
      </c>
      <c r="O78" s="8" t="str">
        <f ca="1">IFERROR(VLOOKUP(DB_TBL_DATA_FIELDS[[#This Row],[FIELD_STATUS_CODE]],DB_TBL_CONFIG_FIELDSTATUSCODES[#All],4,FALSE),"")</f>
        <v xml:space="preserve"> </v>
      </c>
      <c r="P78" s="8" t="b">
        <f>TRUE</f>
        <v>1</v>
      </c>
      <c r="Q78" s="8" t="b">
        <v>1</v>
      </c>
      <c r="R78" s="4" t="s">
        <v>40</v>
      </c>
      <c r="S78" s="8">
        <f ca="1">IF(DB_TBL_DATA_FIELDS[[#This Row],[RANGE_VALIDATION_FLAG]]="Text",LEN(DB_TBL_DATA_FIELDS[[#This Row],[FIELD_VALUE_RAW]]),IFERROR(VALUE(DB_TBL_DATA_FIELDS[[#This Row],[FIELD_VALUE_RAW]]),-1))</f>
        <v>-1</v>
      </c>
      <c r="T78" s="8">
        <v>0</v>
      </c>
      <c r="U78" s="8">
        <v>999999999999</v>
      </c>
      <c r="V78" s="8" t="b">
        <f ca="1">IF(NOT(DB_TBL_DATA_FIELDS[[#This Row],[RANGE_VALIDATION_ON_FLAG]]),TRUE,
AND(DB_TBL_DATA_FIELDS[[#This Row],[RANGE_VALUE_LEN]]&gt;=DB_TBL_DATA_FIELDS[[#This Row],[RANGE_VALIDATION_MIN]],DB_TBL_DATA_FIELDS[[#This Row],[RANGE_VALUE_LEN]]&lt;=DB_TBL_DATA_FIELDS[[#This Row],[RANGE_VALIDATION_MAX]]))</f>
        <v>0</v>
      </c>
      <c r="W78" s="7">
        <v>1</v>
      </c>
      <c r="X78" s="7">
        <f ca="1">IF(DB_TBL_DATA_FIELDS[[#This Row],[PCT_CALC_SHOW_STATUS_CODE]]=1,
DB_TBL_DATA_FIELDS[[#This Row],[FIELD_STATUS_CODE]],
IF(AND(DB_TBL_DATA_FIELDS[[#This Row],[PCT_CALC_SHOW_STATUS_CODE]]=2,DB_TBL_DATA_FIELDS[[#This Row],[FIELD_STATUS_CODE]]=0),
DB_TBL_DATA_FIELDS[[#This Row],[FIELD_STATUS_CODE]],
"")
)</f>
        <v>-1</v>
      </c>
      <c r="Y78" s="69"/>
      <c r="Z78" s="12" t="s">
        <v>2303</v>
      </c>
      <c r="AA78" s="12" t="s">
        <v>2460</v>
      </c>
      <c r="AB78" s="12" t="s">
        <v>2502</v>
      </c>
      <c r="AC78" s="12" t="s">
        <v>2660</v>
      </c>
      <c r="AD78" s="12"/>
      <c r="AE78" s="35"/>
    </row>
    <row r="79" spans="1:31" x14ac:dyDescent="0.3">
      <c r="A79" s="321" t="s">
        <v>2771</v>
      </c>
      <c r="B79" s="321" t="str">
        <f>IFERROR(IF(FIND(DATA_EFORM_TYPE_CODE,DB_TBL_DATA_FIELDS[[#This Row],[APPLICABLE_EFORM_LIST]])&gt;0,DATA_EFORM_TYPE_CODE,""),"")</f>
        <v>AHEAD</v>
      </c>
      <c r="C79" s="203" t="s">
        <v>2801</v>
      </c>
      <c r="D79" s="203" t="b">
        <v>1</v>
      </c>
      <c r="E79" s="204" t="b">
        <v>0</v>
      </c>
      <c r="F79" s="205" t="s">
        <v>2803</v>
      </c>
      <c r="G79" s="206" t="str">
        <f ca="1">IFERROR(VLOOKUP(DB_TBL_DATA_FIELDS[[#This Row],[FIELD_ID]],INDIRECT(DB_TBL_DATA_FIELDS[[#This Row],[SHEET_REF_CALC]]&amp;"!A:B"),2,FALSE),"")</f>
        <v/>
      </c>
      <c r="H79" s="206" t="str">
        <f ca="1">IF(DB_TBL_DATA_FIELDS[[#This Row],[FIELD_EMPTY_FLAG]],"",DB_TBL_DATA_FIELDS[[#This Row],[FIELD_REQ_FLAG]])</f>
        <v/>
      </c>
      <c r="I79" s="205" t="b">
        <f ca="1">(DB_TBL_DATA_FIELDS[[#This Row],[FIELD_VALUE_RAW]]="")</f>
        <v>1</v>
      </c>
      <c r="J79" s="205" t="s">
        <v>40</v>
      </c>
      <c r="K79" s="207" t="b">
        <f ca="1">AND(IF(DB_TBL_DATA_FIELDS[[#This Row],[FIELD_VALID_CUSTOM_LOGIC]]="",TRUE,DB_TBL_DATA_FIELDS[[#This Row],[FIELD_VALID_CUSTOM_LOGIC]]),DB_TBL_DATA_FIELDS[[#This Row],[RANGE_VALIDATION_PASSED_FLAG]])</f>
        <v>0</v>
      </c>
      <c r="L79" s="206"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79" s="332">
        <f ca="1">IF(DB_TBL_DATA_FIELDS[[#This Row],[SHEET_REF_CALC]]="","",IF(DB_TBL_DATA_FIELDS[[#This Row],[FIELD_EMPTY_FLAG]],IF(NOT(DB_TBL_DATA_FIELDS[[#This Row],[FIELD_REQ_FLAG]]),-1,1),IF(NOT(DB_TBL_DATA_FIELDS[[#This Row],[FIELD_VALID_FLAG]]),0,2)))</f>
        <v>-1</v>
      </c>
      <c r="N79" s="207" t="str">
        <f ca="1">IFERROR(VLOOKUP(DB_TBL_DATA_FIELDS[[#This Row],[FIELD_STATUS_CODE]],DB_TBL_CONFIG_FIELDSTATUSCODES[#All],3,FALSE),"")</f>
        <v>Optional</v>
      </c>
      <c r="O79" s="207" t="str">
        <f ca="1">IFERROR(VLOOKUP(DB_TBL_DATA_FIELDS[[#This Row],[FIELD_STATUS_CODE]],DB_TBL_CONFIG_FIELDSTATUSCODES[#All],4,FALSE),"")</f>
        <v xml:space="preserve"> </v>
      </c>
      <c r="P79" s="207" t="b">
        <f>TRUE</f>
        <v>1</v>
      </c>
      <c r="Q79" s="207" t="b">
        <f>TRUE</f>
        <v>1</v>
      </c>
      <c r="R79" s="203" t="s">
        <v>40</v>
      </c>
      <c r="S79" s="207">
        <f ca="1">IF(DB_TBL_DATA_FIELDS[[#This Row],[RANGE_VALIDATION_FLAG]]="Text",LEN(DB_TBL_DATA_FIELDS[[#This Row],[FIELD_VALUE_RAW]]),IFERROR(VALUE(DB_TBL_DATA_FIELDS[[#This Row],[FIELD_VALUE_RAW]]),-1))</f>
        <v>-1</v>
      </c>
      <c r="T79" s="207">
        <v>0</v>
      </c>
      <c r="U79" s="207">
        <v>999999999999</v>
      </c>
      <c r="V79" s="207" t="b">
        <f ca="1">IF(NOT(DB_TBL_DATA_FIELDS[[#This Row],[RANGE_VALIDATION_ON_FLAG]]),TRUE,
AND(DB_TBL_DATA_FIELDS[[#This Row],[RANGE_VALUE_LEN]]&gt;=DB_TBL_DATA_FIELDS[[#This Row],[RANGE_VALIDATION_MIN]],DB_TBL_DATA_FIELDS[[#This Row],[RANGE_VALUE_LEN]]&lt;=DB_TBL_DATA_FIELDS[[#This Row],[RANGE_VALIDATION_MAX]]))</f>
        <v>0</v>
      </c>
      <c r="W79" s="202">
        <v>1</v>
      </c>
      <c r="X79" s="202">
        <f ca="1">IF(DB_TBL_DATA_FIELDS[[#This Row],[PCT_CALC_SHOW_STATUS_CODE]]=1,
DB_TBL_DATA_FIELDS[[#This Row],[FIELD_STATUS_CODE]],
IF(AND(DB_TBL_DATA_FIELDS[[#This Row],[PCT_CALC_SHOW_STATUS_CODE]]=2,DB_TBL_DATA_FIELDS[[#This Row],[FIELD_STATUS_CODE]]=0),
DB_TBL_DATA_FIELDS[[#This Row],[FIELD_STATUS_CODE]],
"")
)</f>
        <v>-1</v>
      </c>
      <c r="Y79" s="202"/>
      <c r="Z79" s="206" t="s">
        <v>2798</v>
      </c>
      <c r="AA79" s="206" t="s">
        <v>2460</v>
      </c>
      <c r="AB79" s="206"/>
      <c r="AC79" s="206"/>
      <c r="AD79" s="206"/>
      <c r="AE79" s="207" t="s">
        <v>2837</v>
      </c>
    </row>
    <row r="80" spans="1:31" x14ac:dyDescent="0.3">
      <c r="A80" s="321" t="s">
        <v>2771</v>
      </c>
      <c r="B80" s="321" t="str">
        <f>IFERROR(IF(FIND(DATA_EFORM_TYPE_CODE,DB_TBL_DATA_FIELDS[[#This Row],[APPLICABLE_EFORM_LIST]])&gt;0,DATA_EFORM_TYPE_CODE,""),"")</f>
        <v>AHEAD</v>
      </c>
      <c r="C80" s="203" t="s">
        <v>2802</v>
      </c>
      <c r="D80" s="203" t="b">
        <v>1</v>
      </c>
      <c r="E80" s="204" t="b">
        <v>0</v>
      </c>
      <c r="F80" s="205" t="s">
        <v>2804</v>
      </c>
      <c r="G80" s="206" t="str">
        <f ca="1">IFERROR(VLOOKUP(DB_TBL_DATA_FIELDS[[#This Row],[FIELD_ID]],INDIRECT(DB_TBL_DATA_FIELDS[[#This Row],[SHEET_REF_CALC]]&amp;"!A:B"),2,FALSE),"")</f>
        <v/>
      </c>
      <c r="H80" s="206" t="str">
        <f ca="1">IF(DB_TBL_DATA_FIELDS[[#This Row],[FIELD_EMPTY_FLAG]],"",DB_TBL_DATA_FIELDS[[#This Row],[FIELD_REQ_FLAG]])</f>
        <v/>
      </c>
      <c r="I80" s="205" t="b">
        <f ca="1">(DB_TBL_DATA_FIELDS[[#This Row],[FIELD_VALUE_RAW]]="")</f>
        <v>1</v>
      </c>
      <c r="J80" s="205" t="s">
        <v>40</v>
      </c>
      <c r="K80" s="207" t="b">
        <f ca="1">AND(IF(DB_TBL_DATA_FIELDS[[#This Row],[FIELD_VALID_CUSTOM_LOGIC]]="",TRUE,DB_TBL_DATA_FIELDS[[#This Row],[FIELD_VALID_CUSTOM_LOGIC]]),DB_TBL_DATA_FIELDS[[#This Row],[RANGE_VALIDATION_PASSED_FLAG]])</f>
        <v>0</v>
      </c>
      <c r="L80" s="206"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80" s="332">
        <f ca="1">IF(DB_TBL_DATA_FIELDS[[#This Row],[SHEET_REF_CALC]]="","",IF(DB_TBL_DATA_FIELDS[[#This Row],[FIELD_EMPTY_FLAG]],IF(NOT(DB_TBL_DATA_FIELDS[[#This Row],[FIELD_REQ_FLAG]]),-1,1),IF(NOT(DB_TBL_DATA_FIELDS[[#This Row],[FIELD_VALID_FLAG]]),0,2)))</f>
        <v>-1</v>
      </c>
      <c r="N80" s="207" t="str">
        <f ca="1">IFERROR(VLOOKUP(DB_TBL_DATA_FIELDS[[#This Row],[FIELD_STATUS_CODE]],DB_TBL_CONFIG_FIELDSTATUSCODES[#All],3,FALSE),"")</f>
        <v>Optional</v>
      </c>
      <c r="O80" s="207" t="str">
        <f ca="1">IFERROR(VLOOKUP(DB_TBL_DATA_FIELDS[[#This Row],[FIELD_STATUS_CODE]],DB_TBL_CONFIG_FIELDSTATUSCODES[#All],4,FALSE),"")</f>
        <v xml:space="preserve"> </v>
      </c>
      <c r="P80" s="207" t="b">
        <f>TRUE</f>
        <v>1</v>
      </c>
      <c r="Q80" s="207" t="b">
        <f>TRUE</f>
        <v>1</v>
      </c>
      <c r="R80" s="203" t="s">
        <v>40</v>
      </c>
      <c r="S80" s="207">
        <f ca="1">IF(DB_TBL_DATA_FIELDS[[#This Row],[RANGE_VALIDATION_FLAG]]="Text",LEN(DB_TBL_DATA_FIELDS[[#This Row],[FIELD_VALUE_RAW]]),IFERROR(VALUE(DB_TBL_DATA_FIELDS[[#This Row],[FIELD_VALUE_RAW]]),-1))</f>
        <v>-1</v>
      </c>
      <c r="T80" s="207">
        <v>0</v>
      </c>
      <c r="U80" s="207">
        <v>999999999999</v>
      </c>
      <c r="V80" s="207" t="b">
        <f ca="1">IF(NOT(DB_TBL_DATA_FIELDS[[#This Row],[RANGE_VALIDATION_ON_FLAG]]),TRUE,
AND(DB_TBL_DATA_FIELDS[[#This Row],[RANGE_VALUE_LEN]]&gt;=DB_TBL_DATA_FIELDS[[#This Row],[RANGE_VALIDATION_MIN]],DB_TBL_DATA_FIELDS[[#This Row],[RANGE_VALUE_LEN]]&lt;=DB_TBL_DATA_FIELDS[[#This Row],[RANGE_VALIDATION_MAX]]))</f>
        <v>0</v>
      </c>
      <c r="W80" s="202">
        <v>1</v>
      </c>
      <c r="X80" s="202">
        <f ca="1">IF(DB_TBL_DATA_FIELDS[[#This Row],[PCT_CALC_SHOW_STATUS_CODE]]=1,
DB_TBL_DATA_FIELDS[[#This Row],[FIELD_STATUS_CODE]],
IF(AND(DB_TBL_DATA_FIELDS[[#This Row],[PCT_CALC_SHOW_STATUS_CODE]]=2,DB_TBL_DATA_FIELDS[[#This Row],[FIELD_STATUS_CODE]]=0),
DB_TBL_DATA_FIELDS[[#This Row],[FIELD_STATUS_CODE]],
"")
)</f>
        <v>-1</v>
      </c>
      <c r="Y80" s="202"/>
      <c r="Z80" s="206" t="s">
        <v>2798</v>
      </c>
      <c r="AA80" s="206" t="s">
        <v>2460</v>
      </c>
      <c r="AB80" s="206"/>
      <c r="AC80" s="206"/>
      <c r="AD80" s="206"/>
      <c r="AE80" s="207" t="s">
        <v>2837</v>
      </c>
    </row>
    <row r="81" spans="1:31" x14ac:dyDescent="0.3">
      <c r="A81" s="321" t="s">
        <v>2771</v>
      </c>
      <c r="B81" s="321" t="str">
        <f>IFERROR(IF(FIND(DATA_EFORM_TYPE_CODE,DB_TBL_DATA_FIELDS[[#This Row],[APPLICABLE_EFORM_LIST]])&gt;0,DATA_EFORM_TYPE_CODE,""),"")</f>
        <v>AHEAD</v>
      </c>
      <c r="C81" s="203" t="s">
        <v>2501</v>
      </c>
      <c r="D81" s="203" t="b">
        <v>0</v>
      </c>
      <c r="E81" s="204" t="b">
        <v>0</v>
      </c>
      <c r="F81" s="205" t="s">
        <v>2503</v>
      </c>
      <c r="G81" s="206" t="str">
        <f ca="1">IF(I59,"",
IF(AND(E69,NOT(I69)),G69,
IF(AND(E71,NOT(I71)),G71,
IF(AND(E73,NOT(I73)),G73,
IF(AND(E75,NOT(I75)),G75,
IF(AND(E77,NOT(I77)),G77,""))))))</f>
        <v/>
      </c>
      <c r="H81" s="206"/>
      <c r="I81" s="205" t="b">
        <f ca="1">(DB_TBL_DATA_FIELDS[[#This Row],[FIELD_VALUE_RAW]]="")</f>
        <v>1</v>
      </c>
      <c r="J81" s="205" t="s">
        <v>40</v>
      </c>
      <c r="K81" s="207" t="b">
        <f>AND(IF(DB_TBL_DATA_FIELDS[[#This Row],[FIELD_VALID_CUSTOM_LOGIC]]="",TRUE,DB_TBL_DATA_FIELDS[[#This Row],[FIELD_VALID_CUSTOM_LOGIC]]),DB_TBL_DATA_FIELDS[[#This Row],[RANGE_VALIDATION_PASSED_FLAG]])</f>
        <v>1</v>
      </c>
      <c r="L81" s="206"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81" s="332">
        <f ca="1">IF(DB_TBL_DATA_FIELDS[[#This Row],[SHEET_REF_CALC]]="","",IF(DB_TBL_DATA_FIELDS[[#This Row],[FIELD_EMPTY_FLAG]],IF(NOT(DB_TBL_DATA_FIELDS[[#This Row],[FIELD_REQ_FLAG]]),-1,1),IF(NOT(DB_TBL_DATA_FIELDS[[#This Row],[FIELD_VALID_FLAG]]),0,2)))</f>
        <v>-1</v>
      </c>
      <c r="N81" s="207" t="str">
        <f ca="1">IFERROR(VLOOKUP(DB_TBL_DATA_FIELDS[[#This Row],[FIELD_STATUS_CODE]],DB_TBL_CONFIG_FIELDSTATUSCODES[#All],3,FALSE),"")</f>
        <v>Optional</v>
      </c>
      <c r="O81" s="207" t="str">
        <f ca="1">IFERROR(VLOOKUP(DB_TBL_DATA_FIELDS[[#This Row],[FIELD_STATUS_CODE]],DB_TBL_CONFIG_FIELDSTATUSCODES[#All],4,FALSE),"")</f>
        <v xml:space="preserve"> </v>
      </c>
      <c r="P81" s="207" t="b">
        <f>TRUE</f>
        <v>1</v>
      </c>
      <c r="Q81" s="207" t="b">
        <v>0</v>
      </c>
      <c r="R81" s="203"/>
      <c r="S81" s="207">
        <f ca="1">IF(DB_TBL_DATA_FIELDS[[#This Row],[RANGE_VALIDATION_FLAG]]="Text",LEN(DB_TBL_DATA_FIELDS[[#This Row],[FIELD_VALUE_RAW]]),IFERROR(VALUE(DB_TBL_DATA_FIELDS[[#This Row],[FIELD_VALUE_RAW]]),-1))</f>
        <v>-1</v>
      </c>
      <c r="T81" s="207"/>
      <c r="U81" s="207"/>
      <c r="V81" s="207" t="b">
        <f>IF(NOT(DB_TBL_DATA_FIELDS[[#This Row],[RANGE_VALIDATION_ON_FLAG]]),TRUE,
AND(DB_TBL_DATA_FIELDS[[#This Row],[RANGE_VALUE_LEN]]&gt;=DB_TBL_DATA_FIELDS[[#This Row],[RANGE_VALIDATION_MIN]],DB_TBL_DATA_FIELDS[[#This Row],[RANGE_VALUE_LEN]]&lt;=DB_TBL_DATA_FIELDS[[#This Row],[RANGE_VALIDATION_MAX]]))</f>
        <v>1</v>
      </c>
      <c r="W81" s="202"/>
      <c r="X81" s="202" t="str">
        <f ca="1">IF(DB_TBL_DATA_FIELDS[[#This Row],[PCT_CALC_SHOW_STATUS_CODE]]=1,
DB_TBL_DATA_FIELDS[[#This Row],[FIELD_STATUS_CODE]],
IF(AND(DB_TBL_DATA_FIELDS[[#This Row],[PCT_CALC_SHOW_STATUS_CODE]]=2,DB_TBL_DATA_FIELDS[[#This Row],[FIELD_STATUS_CODE]]=0),
DB_TBL_DATA_FIELDS[[#This Row],[FIELD_STATUS_CODE]],
"")
)</f>
        <v/>
      </c>
      <c r="Y81" s="202"/>
      <c r="Z81" s="206" t="s">
        <v>2505</v>
      </c>
      <c r="AA81" s="206" t="s">
        <v>2460</v>
      </c>
      <c r="AB81" s="206"/>
      <c r="AC81" s="206"/>
      <c r="AD81" s="206"/>
      <c r="AE81" s="207" t="s">
        <v>2619</v>
      </c>
    </row>
    <row r="82" spans="1:31" x14ac:dyDescent="0.3">
      <c r="A82" s="321" t="s">
        <v>2771</v>
      </c>
      <c r="B82" s="321" t="str">
        <f>IFERROR(IF(FIND(DATA_EFORM_TYPE_CODE,DB_TBL_DATA_FIELDS[[#This Row],[APPLICABLE_EFORM_LIST]])&gt;0,DATA_EFORM_TYPE_CODE,""),"")</f>
        <v>AHEAD</v>
      </c>
      <c r="C82" s="203" t="s">
        <v>2502</v>
      </c>
      <c r="D82" s="203" t="b">
        <v>0</v>
      </c>
      <c r="E82" s="204" t="b">
        <v>0</v>
      </c>
      <c r="F82" s="205" t="s">
        <v>2504</v>
      </c>
      <c r="G82" s="206" t="str">
        <f ca="1">IF(I59,"",
IF(AND(E70,NOT(I70)),G70,
IF(AND(E72,NOT(I72)),G72,
IF(AND(E74,NOT(I74)),G74,
IF(AND(E76,NOT(I76)),G76,
IF(AND(E78,NOT(I78)),G78,""))))))</f>
        <v/>
      </c>
      <c r="H82" s="206"/>
      <c r="I82" s="205" t="b">
        <f ca="1">(DB_TBL_DATA_FIELDS[[#This Row],[FIELD_VALUE_RAW]]="")</f>
        <v>1</v>
      </c>
      <c r="J82" s="205" t="s">
        <v>40</v>
      </c>
      <c r="K82" s="207" t="b">
        <f>AND(IF(DB_TBL_DATA_FIELDS[[#This Row],[FIELD_VALID_CUSTOM_LOGIC]]="",TRUE,DB_TBL_DATA_FIELDS[[#This Row],[FIELD_VALID_CUSTOM_LOGIC]]),DB_TBL_DATA_FIELDS[[#This Row],[RANGE_VALIDATION_PASSED_FLAG]])</f>
        <v>1</v>
      </c>
      <c r="L82" s="206"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82" s="332">
        <f ca="1">IF(DB_TBL_DATA_FIELDS[[#This Row],[SHEET_REF_CALC]]="","",IF(DB_TBL_DATA_FIELDS[[#This Row],[FIELD_EMPTY_FLAG]],IF(NOT(DB_TBL_DATA_FIELDS[[#This Row],[FIELD_REQ_FLAG]]),-1,1),IF(NOT(DB_TBL_DATA_FIELDS[[#This Row],[FIELD_VALID_FLAG]]),0,2)))</f>
        <v>-1</v>
      </c>
      <c r="N82" s="207" t="str">
        <f ca="1">IFERROR(VLOOKUP(DB_TBL_DATA_FIELDS[[#This Row],[FIELD_STATUS_CODE]],DB_TBL_CONFIG_FIELDSTATUSCODES[#All],3,FALSE),"")</f>
        <v>Optional</v>
      </c>
      <c r="O82" s="207" t="str">
        <f ca="1">IFERROR(VLOOKUP(DB_TBL_DATA_FIELDS[[#This Row],[FIELD_STATUS_CODE]],DB_TBL_CONFIG_FIELDSTATUSCODES[#All],4,FALSE),"")</f>
        <v xml:space="preserve"> </v>
      </c>
      <c r="P82" s="207" t="b">
        <f>TRUE</f>
        <v>1</v>
      </c>
      <c r="Q82" s="207" t="b">
        <v>0</v>
      </c>
      <c r="R82" s="203"/>
      <c r="S82" s="207">
        <f ca="1">IF(DB_TBL_DATA_FIELDS[[#This Row],[RANGE_VALIDATION_FLAG]]="Text",LEN(DB_TBL_DATA_FIELDS[[#This Row],[FIELD_VALUE_RAW]]),IFERROR(VALUE(DB_TBL_DATA_FIELDS[[#This Row],[FIELD_VALUE_RAW]]),-1))</f>
        <v>-1</v>
      </c>
      <c r="T82" s="207"/>
      <c r="U82" s="207"/>
      <c r="V82" s="207" t="b">
        <f>IF(NOT(DB_TBL_DATA_FIELDS[[#This Row],[RANGE_VALIDATION_ON_FLAG]]),TRUE,
AND(DB_TBL_DATA_FIELDS[[#This Row],[RANGE_VALUE_LEN]]&gt;=DB_TBL_DATA_FIELDS[[#This Row],[RANGE_VALIDATION_MIN]],DB_TBL_DATA_FIELDS[[#This Row],[RANGE_VALUE_LEN]]&lt;=DB_TBL_DATA_FIELDS[[#This Row],[RANGE_VALIDATION_MAX]]))</f>
        <v>1</v>
      </c>
      <c r="W82" s="202"/>
      <c r="X82" s="202" t="str">
        <f ca="1">IF(DB_TBL_DATA_FIELDS[[#This Row],[PCT_CALC_SHOW_STATUS_CODE]]=1,
DB_TBL_DATA_FIELDS[[#This Row],[FIELD_STATUS_CODE]],
IF(AND(DB_TBL_DATA_FIELDS[[#This Row],[PCT_CALC_SHOW_STATUS_CODE]]=2,DB_TBL_DATA_FIELDS[[#This Row],[FIELD_STATUS_CODE]]=0),
DB_TBL_DATA_FIELDS[[#This Row],[FIELD_STATUS_CODE]],
"")
)</f>
        <v/>
      </c>
      <c r="Y82" s="202"/>
      <c r="Z82" s="206" t="s">
        <v>2506</v>
      </c>
      <c r="AA82" s="206" t="s">
        <v>2460</v>
      </c>
      <c r="AB82" s="206"/>
      <c r="AC82" s="206"/>
      <c r="AD82" s="206"/>
      <c r="AE82" s="207" t="s">
        <v>2619</v>
      </c>
    </row>
    <row r="83" spans="1:31" x14ac:dyDescent="0.3">
      <c r="A83" s="10" t="s">
        <v>2790</v>
      </c>
      <c r="B83" s="7" t="str">
        <f>IFERROR(IF(FIND(DATA_EFORM_TYPE_CODE,DB_TBL_DATA_FIELDS[[#This Row],[APPLICABLE_EFORM_LIST]])&gt;0,DATA_EFORM_TYPE_CODE,""),"")</f>
        <v>AHEAD</v>
      </c>
      <c r="C83" s="4" t="s">
        <v>2507</v>
      </c>
      <c r="D83" s="4" t="b">
        <v>1</v>
      </c>
      <c r="E83" s="26" t="b">
        <v>0</v>
      </c>
      <c r="F83" s="6" t="s">
        <v>2515</v>
      </c>
      <c r="G83" s="34" t="b">
        <f ca="1">IFERROR(VLOOKUP(DB_TBL_DATA_FIELDS[[#This Row],[FIELD_ID]],INDIRECT(DB_TBL_DATA_FIELDS[[#This Row],[SHEET_REF_CALC]]&amp;"!A:B"),2,FALSE),"")</f>
        <v>0</v>
      </c>
      <c r="H83" s="34"/>
      <c r="I83" s="6" t="b">
        <f ca="1">(DB_TBL_DATA_FIELDS[[#This Row],[FIELD_VALUE_RAW]]="")</f>
        <v>0</v>
      </c>
      <c r="J83" s="6" t="s">
        <v>168</v>
      </c>
      <c r="K83" s="8" t="b">
        <f>AND(IF(DB_TBL_DATA_FIELDS[[#This Row],[FIELD_VALID_CUSTOM_LOGIC]]="",TRUE,DB_TBL_DATA_FIELDS[[#This Row],[FIELD_VALID_CUSTOM_LOGIC]]),DB_TBL_DATA_FIELDS[[#This Row],[RANGE_VALIDATION_PASSED_FLAG]])</f>
        <v>1</v>
      </c>
      <c r="L83"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N</v>
      </c>
      <c r="M83" s="328">
        <f ca="1">IF(DB_TBL_DATA_FIELDS[[#This Row],[SHEET_REF_CALC]]="","",IF(DB_TBL_DATA_FIELDS[[#This Row],[FIELD_EMPTY_FLAG]],IF(NOT(DB_TBL_DATA_FIELDS[[#This Row],[FIELD_REQ_FLAG]]),-1,1),IF(NOT(DB_TBL_DATA_FIELDS[[#This Row],[FIELD_VALID_FLAG]]),0,2)))</f>
        <v>2</v>
      </c>
      <c r="N83" s="8" t="str">
        <f ca="1">IFERROR(VLOOKUP(DB_TBL_DATA_FIELDS[[#This Row],[FIELD_STATUS_CODE]],DB_TBL_CONFIG_FIELDSTATUSCODES[#All],3,FALSE),"")</f>
        <v>OK</v>
      </c>
      <c r="O83" s="8" t="str">
        <f ca="1">IFERROR(VLOOKUP(DB_TBL_DATA_FIELDS[[#This Row],[FIELD_STATUS_CODE]],DB_TBL_CONFIG_FIELDSTATUSCODES[#All],4,FALSE),"")</f>
        <v>a</v>
      </c>
      <c r="P83" s="8" t="b">
        <f>TRUE</f>
        <v>1</v>
      </c>
      <c r="Q83" s="8" t="b">
        <v>0</v>
      </c>
      <c r="R83" s="4"/>
      <c r="S83" s="8">
        <f ca="1">IF(DB_TBL_DATA_FIELDS[[#This Row],[RANGE_VALIDATION_FLAG]]="Text",LEN(DB_TBL_DATA_FIELDS[[#This Row],[FIELD_VALUE_RAW]]),IFERROR(VALUE(DB_TBL_DATA_FIELDS[[#This Row],[FIELD_VALUE_RAW]]),-1))</f>
        <v>-1</v>
      </c>
      <c r="T83" s="8"/>
      <c r="U83" s="8"/>
      <c r="V83" s="8" t="b">
        <f>IF(NOT(DB_TBL_DATA_FIELDS[[#This Row],[RANGE_VALIDATION_ON_FLAG]]),TRUE,
AND(DB_TBL_DATA_FIELDS[[#This Row],[RANGE_VALUE_LEN]]&gt;=DB_TBL_DATA_FIELDS[[#This Row],[RANGE_VALIDATION_MIN]],DB_TBL_DATA_FIELDS[[#This Row],[RANGE_VALUE_LEN]]&lt;=DB_TBL_DATA_FIELDS[[#This Row],[RANGE_VALIDATION_MAX]]))</f>
        <v>1</v>
      </c>
      <c r="W83" s="7">
        <v>0</v>
      </c>
      <c r="X83" s="7" t="str">
        <f ca="1">IF(DB_TBL_DATA_FIELDS[[#This Row],[PCT_CALC_SHOW_STATUS_CODE]]=1,
DB_TBL_DATA_FIELDS[[#This Row],[FIELD_STATUS_CODE]],
IF(AND(DB_TBL_DATA_FIELDS[[#This Row],[PCT_CALC_SHOW_STATUS_CODE]]=2,DB_TBL_DATA_FIELDS[[#This Row],[FIELD_STATUS_CODE]]=0),
DB_TBL_DATA_FIELDS[[#This Row],[FIELD_STATUS_CODE]],
"")
)</f>
        <v/>
      </c>
      <c r="Y83" s="69"/>
      <c r="Z83" s="12" t="s">
        <v>2304</v>
      </c>
      <c r="AA83" s="12" t="s">
        <v>2460</v>
      </c>
      <c r="AB83" s="12" t="s">
        <v>2507</v>
      </c>
      <c r="AC83" s="12" t="s">
        <v>2656</v>
      </c>
      <c r="AD83" s="12"/>
      <c r="AE83" s="35"/>
    </row>
    <row r="84" spans="1:31" x14ac:dyDescent="0.3">
      <c r="A84" s="10" t="s">
        <v>2790</v>
      </c>
      <c r="B84" s="7" t="str">
        <f>IFERROR(IF(FIND(DATA_EFORM_TYPE_CODE,DB_TBL_DATA_FIELDS[[#This Row],[APPLICABLE_EFORM_LIST]])&gt;0,DATA_EFORM_TYPE_CODE,""),"")</f>
        <v>AHEAD</v>
      </c>
      <c r="C84" s="4" t="s">
        <v>2508</v>
      </c>
      <c r="D84" s="4" t="b">
        <v>1</v>
      </c>
      <c r="E84" s="26" t="b">
        <v>0</v>
      </c>
      <c r="F84" s="6" t="s">
        <v>2516</v>
      </c>
      <c r="G84" s="34" t="b">
        <f ca="1">IFERROR(VLOOKUP(DB_TBL_DATA_FIELDS[[#This Row],[FIELD_ID]],INDIRECT(DB_TBL_DATA_FIELDS[[#This Row],[SHEET_REF_CALC]]&amp;"!A:B"),2,FALSE),"")</f>
        <v>0</v>
      </c>
      <c r="H84" s="34"/>
      <c r="I84" s="6" t="b">
        <f ca="1">(DB_TBL_DATA_FIELDS[[#This Row],[FIELD_VALUE_RAW]]="")</f>
        <v>0</v>
      </c>
      <c r="J84" s="6" t="s">
        <v>168</v>
      </c>
      <c r="K84" s="8" t="b">
        <f>AND(IF(DB_TBL_DATA_FIELDS[[#This Row],[FIELD_VALID_CUSTOM_LOGIC]]="",TRUE,DB_TBL_DATA_FIELDS[[#This Row],[FIELD_VALID_CUSTOM_LOGIC]]),DB_TBL_DATA_FIELDS[[#This Row],[RANGE_VALIDATION_PASSED_FLAG]])</f>
        <v>1</v>
      </c>
      <c r="L84"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N</v>
      </c>
      <c r="M84" s="328">
        <f ca="1">IF(DB_TBL_DATA_FIELDS[[#This Row],[SHEET_REF_CALC]]="","",IF(DB_TBL_DATA_FIELDS[[#This Row],[FIELD_EMPTY_FLAG]],IF(NOT(DB_TBL_DATA_FIELDS[[#This Row],[FIELD_REQ_FLAG]]),-1,1),IF(NOT(DB_TBL_DATA_FIELDS[[#This Row],[FIELD_VALID_FLAG]]),0,2)))</f>
        <v>2</v>
      </c>
      <c r="N84" s="8" t="str">
        <f ca="1">IFERROR(VLOOKUP(DB_TBL_DATA_FIELDS[[#This Row],[FIELD_STATUS_CODE]],DB_TBL_CONFIG_FIELDSTATUSCODES[#All],3,FALSE),"")</f>
        <v>OK</v>
      </c>
      <c r="O84" s="8" t="str">
        <f ca="1">IFERROR(VLOOKUP(DB_TBL_DATA_FIELDS[[#This Row],[FIELD_STATUS_CODE]],DB_TBL_CONFIG_FIELDSTATUSCODES[#All],4,FALSE),"")</f>
        <v>a</v>
      </c>
      <c r="P84" s="8" t="b">
        <f>TRUE</f>
        <v>1</v>
      </c>
      <c r="Q84" s="8" t="b">
        <v>0</v>
      </c>
      <c r="R84" s="4"/>
      <c r="S84" s="8">
        <f ca="1">IF(DB_TBL_DATA_FIELDS[[#This Row],[RANGE_VALIDATION_FLAG]]="Text",LEN(DB_TBL_DATA_FIELDS[[#This Row],[FIELD_VALUE_RAW]]),IFERROR(VALUE(DB_TBL_DATA_FIELDS[[#This Row],[FIELD_VALUE_RAW]]),-1))</f>
        <v>-1</v>
      </c>
      <c r="T84" s="8"/>
      <c r="U84" s="8"/>
      <c r="V84" s="8" t="b">
        <f>IF(NOT(DB_TBL_DATA_FIELDS[[#This Row],[RANGE_VALIDATION_ON_FLAG]]),TRUE,
AND(DB_TBL_DATA_FIELDS[[#This Row],[RANGE_VALUE_LEN]]&gt;=DB_TBL_DATA_FIELDS[[#This Row],[RANGE_VALIDATION_MIN]],DB_TBL_DATA_FIELDS[[#This Row],[RANGE_VALUE_LEN]]&lt;=DB_TBL_DATA_FIELDS[[#This Row],[RANGE_VALIDATION_MAX]]))</f>
        <v>1</v>
      </c>
      <c r="W84" s="7">
        <v>0</v>
      </c>
      <c r="X84" s="7" t="str">
        <f ca="1">IF(DB_TBL_DATA_FIELDS[[#This Row],[PCT_CALC_SHOW_STATUS_CODE]]=1,
DB_TBL_DATA_FIELDS[[#This Row],[FIELD_STATUS_CODE]],
IF(AND(DB_TBL_DATA_FIELDS[[#This Row],[PCT_CALC_SHOW_STATUS_CODE]]=2,DB_TBL_DATA_FIELDS[[#This Row],[FIELD_STATUS_CODE]]=0),
DB_TBL_DATA_FIELDS[[#This Row],[FIELD_STATUS_CODE]],
"")
)</f>
        <v/>
      </c>
      <c r="Y84" s="69"/>
      <c r="Z84" s="12" t="s">
        <v>2304</v>
      </c>
      <c r="AA84" s="12" t="s">
        <v>2460</v>
      </c>
      <c r="AB84" s="12" t="s">
        <v>2508</v>
      </c>
      <c r="AC84" s="12" t="s">
        <v>2656</v>
      </c>
      <c r="AD84" s="12"/>
      <c r="AE84" s="35"/>
    </row>
    <row r="85" spans="1:31" x14ac:dyDescent="0.3">
      <c r="A85" s="10" t="s">
        <v>2790</v>
      </c>
      <c r="B85" s="7" t="str">
        <f>IFERROR(IF(FIND(DATA_EFORM_TYPE_CODE,DB_TBL_DATA_FIELDS[[#This Row],[APPLICABLE_EFORM_LIST]])&gt;0,DATA_EFORM_TYPE_CODE,""),"")</f>
        <v>AHEAD</v>
      </c>
      <c r="C85" s="4" t="s">
        <v>2509</v>
      </c>
      <c r="D85" s="4" t="b">
        <v>1</v>
      </c>
      <c r="E85" s="26" t="b">
        <v>0</v>
      </c>
      <c r="F85" s="6" t="s">
        <v>2518</v>
      </c>
      <c r="G85" s="34" t="b">
        <f ca="1">IFERROR(VLOOKUP(DB_TBL_DATA_FIELDS[[#This Row],[FIELD_ID]],INDIRECT(DB_TBL_DATA_FIELDS[[#This Row],[SHEET_REF_CALC]]&amp;"!A:B"),2,FALSE),"")</f>
        <v>0</v>
      </c>
      <c r="H85" s="34"/>
      <c r="I85" s="6" t="b">
        <f ca="1">(DB_TBL_DATA_FIELDS[[#This Row],[FIELD_VALUE_RAW]]="")</f>
        <v>0</v>
      </c>
      <c r="J85" s="6" t="s">
        <v>168</v>
      </c>
      <c r="K85" s="8" t="b">
        <f>AND(IF(DB_TBL_DATA_FIELDS[[#This Row],[FIELD_VALID_CUSTOM_LOGIC]]="",TRUE,DB_TBL_DATA_FIELDS[[#This Row],[FIELD_VALID_CUSTOM_LOGIC]]),DB_TBL_DATA_FIELDS[[#This Row],[RANGE_VALIDATION_PASSED_FLAG]])</f>
        <v>1</v>
      </c>
      <c r="L85"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N</v>
      </c>
      <c r="M85" s="328">
        <f ca="1">IF(DB_TBL_DATA_FIELDS[[#This Row],[SHEET_REF_CALC]]="","",IF(DB_TBL_DATA_FIELDS[[#This Row],[FIELD_EMPTY_FLAG]],IF(NOT(DB_TBL_DATA_FIELDS[[#This Row],[FIELD_REQ_FLAG]]),-1,1),IF(NOT(DB_TBL_DATA_FIELDS[[#This Row],[FIELD_VALID_FLAG]]),0,2)))</f>
        <v>2</v>
      </c>
      <c r="N85" s="8" t="str">
        <f ca="1">IFERROR(VLOOKUP(DB_TBL_DATA_FIELDS[[#This Row],[FIELD_STATUS_CODE]],DB_TBL_CONFIG_FIELDSTATUSCODES[#All],3,FALSE),"")</f>
        <v>OK</v>
      </c>
      <c r="O85" s="8" t="str">
        <f ca="1">IFERROR(VLOOKUP(DB_TBL_DATA_FIELDS[[#This Row],[FIELD_STATUS_CODE]],DB_TBL_CONFIG_FIELDSTATUSCODES[#All],4,FALSE),"")</f>
        <v>a</v>
      </c>
      <c r="P85" s="8" t="b">
        <f>TRUE</f>
        <v>1</v>
      </c>
      <c r="Q85" s="8" t="b">
        <v>0</v>
      </c>
      <c r="R85" s="4"/>
      <c r="S85" s="8">
        <f ca="1">IF(DB_TBL_DATA_FIELDS[[#This Row],[RANGE_VALIDATION_FLAG]]="Text",LEN(DB_TBL_DATA_FIELDS[[#This Row],[FIELD_VALUE_RAW]]),IFERROR(VALUE(DB_TBL_DATA_FIELDS[[#This Row],[FIELD_VALUE_RAW]]),-1))</f>
        <v>-1</v>
      </c>
      <c r="T85" s="8"/>
      <c r="U85" s="8"/>
      <c r="V85" s="8" t="b">
        <f>IF(NOT(DB_TBL_DATA_FIELDS[[#This Row],[RANGE_VALIDATION_ON_FLAG]]),TRUE,
AND(DB_TBL_DATA_FIELDS[[#This Row],[RANGE_VALUE_LEN]]&gt;=DB_TBL_DATA_FIELDS[[#This Row],[RANGE_VALIDATION_MIN]],DB_TBL_DATA_FIELDS[[#This Row],[RANGE_VALUE_LEN]]&lt;=DB_TBL_DATA_FIELDS[[#This Row],[RANGE_VALIDATION_MAX]]))</f>
        <v>1</v>
      </c>
      <c r="W85" s="7">
        <v>0</v>
      </c>
      <c r="X85" s="7" t="str">
        <f ca="1">IF(DB_TBL_DATA_FIELDS[[#This Row],[PCT_CALC_SHOW_STATUS_CODE]]=1,
DB_TBL_DATA_FIELDS[[#This Row],[FIELD_STATUS_CODE]],
IF(AND(DB_TBL_DATA_FIELDS[[#This Row],[PCT_CALC_SHOW_STATUS_CODE]]=2,DB_TBL_DATA_FIELDS[[#This Row],[FIELD_STATUS_CODE]]=0),
DB_TBL_DATA_FIELDS[[#This Row],[FIELD_STATUS_CODE]],
"")
)</f>
        <v/>
      </c>
      <c r="Y85" s="69"/>
      <c r="Z85" s="12" t="s">
        <v>2304</v>
      </c>
      <c r="AA85" s="12" t="s">
        <v>2460</v>
      </c>
      <c r="AB85" s="12" t="s">
        <v>2509</v>
      </c>
      <c r="AC85" s="12" t="s">
        <v>2656</v>
      </c>
      <c r="AD85" s="12"/>
      <c r="AE85" s="35"/>
    </row>
    <row r="86" spans="1:31" x14ac:dyDescent="0.3">
      <c r="A86" s="10" t="s">
        <v>2790</v>
      </c>
      <c r="B86" s="7" t="str">
        <f>IFERROR(IF(FIND(DATA_EFORM_TYPE_CODE,DB_TBL_DATA_FIELDS[[#This Row],[APPLICABLE_EFORM_LIST]])&gt;0,DATA_EFORM_TYPE_CODE,""),"")</f>
        <v>AHEAD</v>
      </c>
      <c r="C86" s="4" t="s">
        <v>2510</v>
      </c>
      <c r="D86" s="4" t="b">
        <v>1</v>
      </c>
      <c r="E86" s="26" t="b">
        <v>0</v>
      </c>
      <c r="F86" s="6" t="s">
        <v>2517</v>
      </c>
      <c r="G86" s="34" t="b">
        <f ca="1">IFERROR(VLOOKUP(DB_TBL_DATA_FIELDS[[#This Row],[FIELD_ID]],INDIRECT(DB_TBL_DATA_FIELDS[[#This Row],[SHEET_REF_CALC]]&amp;"!A:B"),2,FALSE),"")</f>
        <v>0</v>
      </c>
      <c r="H86" s="34"/>
      <c r="I86" s="6" t="b">
        <f ca="1">(DB_TBL_DATA_FIELDS[[#This Row],[FIELD_VALUE_RAW]]="")</f>
        <v>0</v>
      </c>
      <c r="J86" s="6" t="s">
        <v>168</v>
      </c>
      <c r="K86" s="8" t="b">
        <f>AND(IF(DB_TBL_DATA_FIELDS[[#This Row],[FIELD_VALID_CUSTOM_LOGIC]]="",TRUE,DB_TBL_DATA_FIELDS[[#This Row],[FIELD_VALID_CUSTOM_LOGIC]]),DB_TBL_DATA_FIELDS[[#This Row],[RANGE_VALIDATION_PASSED_FLAG]])</f>
        <v>1</v>
      </c>
      <c r="L86"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N</v>
      </c>
      <c r="M86" s="328">
        <f ca="1">IF(DB_TBL_DATA_FIELDS[[#This Row],[SHEET_REF_CALC]]="","",IF(DB_TBL_DATA_FIELDS[[#This Row],[FIELD_EMPTY_FLAG]],IF(NOT(DB_TBL_DATA_FIELDS[[#This Row],[FIELD_REQ_FLAG]]),-1,1),IF(NOT(DB_TBL_DATA_FIELDS[[#This Row],[FIELD_VALID_FLAG]]),0,2)))</f>
        <v>2</v>
      </c>
      <c r="N86" s="8" t="str">
        <f ca="1">IFERROR(VLOOKUP(DB_TBL_DATA_FIELDS[[#This Row],[FIELD_STATUS_CODE]],DB_TBL_CONFIG_FIELDSTATUSCODES[#All],3,FALSE),"")</f>
        <v>OK</v>
      </c>
      <c r="O86" s="8" t="str">
        <f ca="1">IFERROR(VLOOKUP(DB_TBL_DATA_FIELDS[[#This Row],[FIELD_STATUS_CODE]],DB_TBL_CONFIG_FIELDSTATUSCODES[#All],4,FALSE),"")</f>
        <v>a</v>
      </c>
      <c r="P86" s="8" t="b">
        <f>TRUE</f>
        <v>1</v>
      </c>
      <c r="Q86" s="8" t="b">
        <v>0</v>
      </c>
      <c r="R86" s="4"/>
      <c r="S86" s="8">
        <f ca="1">IF(DB_TBL_DATA_FIELDS[[#This Row],[RANGE_VALIDATION_FLAG]]="Text",LEN(DB_TBL_DATA_FIELDS[[#This Row],[FIELD_VALUE_RAW]]),IFERROR(VALUE(DB_TBL_DATA_FIELDS[[#This Row],[FIELD_VALUE_RAW]]),-1))</f>
        <v>-1</v>
      </c>
      <c r="T86" s="8"/>
      <c r="U86" s="8"/>
      <c r="V86" s="8" t="b">
        <f>IF(NOT(DB_TBL_DATA_FIELDS[[#This Row],[RANGE_VALIDATION_ON_FLAG]]),TRUE,
AND(DB_TBL_DATA_FIELDS[[#This Row],[RANGE_VALUE_LEN]]&gt;=DB_TBL_DATA_FIELDS[[#This Row],[RANGE_VALIDATION_MIN]],DB_TBL_DATA_FIELDS[[#This Row],[RANGE_VALUE_LEN]]&lt;=DB_TBL_DATA_FIELDS[[#This Row],[RANGE_VALIDATION_MAX]]))</f>
        <v>1</v>
      </c>
      <c r="W86" s="7">
        <v>0</v>
      </c>
      <c r="X86" s="7" t="str">
        <f ca="1">IF(DB_TBL_DATA_FIELDS[[#This Row],[PCT_CALC_SHOW_STATUS_CODE]]=1,
DB_TBL_DATA_FIELDS[[#This Row],[FIELD_STATUS_CODE]],
IF(AND(DB_TBL_DATA_FIELDS[[#This Row],[PCT_CALC_SHOW_STATUS_CODE]]=2,DB_TBL_DATA_FIELDS[[#This Row],[FIELD_STATUS_CODE]]=0),
DB_TBL_DATA_FIELDS[[#This Row],[FIELD_STATUS_CODE]],
"")
)</f>
        <v/>
      </c>
      <c r="Y86" s="69"/>
      <c r="Z86" s="12" t="s">
        <v>2304</v>
      </c>
      <c r="AA86" s="12" t="s">
        <v>2460</v>
      </c>
      <c r="AB86" s="12" t="s">
        <v>2510</v>
      </c>
      <c r="AC86" s="12" t="s">
        <v>2656</v>
      </c>
      <c r="AD86" s="12"/>
      <c r="AE86" s="35"/>
    </row>
    <row r="87" spans="1:31" x14ac:dyDescent="0.3">
      <c r="A87" s="10" t="s">
        <v>2790</v>
      </c>
      <c r="B87" s="7" t="str">
        <f>IFERROR(IF(FIND(DATA_EFORM_TYPE_CODE,DB_TBL_DATA_FIELDS[[#This Row],[APPLICABLE_EFORM_LIST]])&gt;0,DATA_EFORM_TYPE_CODE,""),"")</f>
        <v>AHEAD</v>
      </c>
      <c r="C87" s="4" t="s">
        <v>2511</v>
      </c>
      <c r="D87" s="4" t="b">
        <v>1</v>
      </c>
      <c r="E87" s="26" t="b">
        <v>0</v>
      </c>
      <c r="F87" s="6" t="s">
        <v>2519</v>
      </c>
      <c r="G87" s="34" t="b">
        <f ca="1">IFERROR(VLOOKUP(DB_TBL_DATA_FIELDS[[#This Row],[FIELD_ID]],INDIRECT(DB_TBL_DATA_FIELDS[[#This Row],[SHEET_REF_CALC]]&amp;"!A:B"),2,FALSE),"")</f>
        <v>0</v>
      </c>
      <c r="H87" s="34"/>
      <c r="I87" s="6" t="b">
        <f ca="1">(DB_TBL_DATA_FIELDS[[#This Row],[FIELD_VALUE_RAW]]="")</f>
        <v>0</v>
      </c>
      <c r="J87" s="6" t="s">
        <v>168</v>
      </c>
      <c r="K87" s="8" t="b">
        <f>AND(IF(DB_TBL_DATA_FIELDS[[#This Row],[FIELD_VALID_CUSTOM_LOGIC]]="",TRUE,DB_TBL_DATA_FIELDS[[#This Row],[FIELD_VALID_CUSTOM_LOGIC]]),DB_TBL_DATA_FIELDS[[#This Row],[RANGE_VALIDATION_PASSED_FLAG]])</f>
        <v>1</v>
      </c>
      <c r="L87"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N</v>
      </c>
      <c r="M87" s="328">
        <f ca="1">IF(DB_TBL_DATA_FIELDS[[#This Row],[SHEET_REF_CALC]]="","",IF(DB_TBL_DATA_FIELDS[[#This Row],[FIELD_EMPTY_FLAG]],IF(NOT(DB_TBL_DATA_FIELDS[[#This Row],[FIELD_REQ_FLAG]]),-1,1),IF(NOT(DB_TBL_DATA_FIELDS[[#This Row],[FIELD_VALID_FLAG]]),0,2)))</f>
        <v>2</v>
      </c>
      <c r="N87" s="8" t="str">
        <f ca="1">IFERROR(VLOOKUP(DB_TBL_DATA_FIELDS[[#This Row],[FIELD_STATUS_CODE]],DB_TBL_CONFIG_FIELDSTATUSCODES[#All],3,FALSE),"")</f>
        <v>OK</v>
      </c>
      <c r="O87" s="8" t="str">
        <f ca="1">IFERROR(VLOOKUP(DB_TBL_DATA_FIELDS[[#This Row],[FIELD_STATUS_CODE]],DB_TBL_CONFIG_FIELDSTATUSCODES[#All],4,FALSE),"")</f>
        <v>a</v>
      </c>
      <c r="P87" s="8" t="b">
        <f>TRUE</f>
        <v>1</v>
      </c>
      <c r="Q87" s="8" t="b">
        <v>0</v>
      </c>
      <c r="R87" s="4"/>
      <c r="S87" s="8">
        <f ca="1">IF(DB_TBL_DATA_FIELDS[[#This Row],[RANGE_VALIDATION_FLAG]]="Text",LEN(DB_TBL_DATA_FIELDS[[#This Row],[FIELD_VALUE_RAW]]),IFERROR(VALUE(DB_TBL_DATA_FIELDS[[#This Row],[FIELD_VALUE_RAW]]),-1))</f>
        <v>-1</v>
      </c>
      <c r="T87" s="8"/>
      <c r="U87" s="8"/>
      <c r="V87" s="8" t="b">
        <f>IF(NOT(DB_TBL_DATA_FIELDS[[#This Row],[RANGE_VALIDATION_ON_FLAG]]),TRUE,
AND(DB_TBL_DATA_FIELDS[[#This Row],[RANGE_VALUE_LEN]]&gt;=DB_TBL_DATA_FIELDS[[#This Row],[RANGE_VALIDATION_MIN]],DB_TBL_DATA_FIELDS[[#This Row],[RANGE_VALUE_LEN]]&lt;=DB_TBL_DATA_FIELDS[[#This Row],[RANGE_VALIDATION_MAX]]))</f>
        <v>1</v>
      </c>
      <c r="W87" s="7">
        <v>0</v>
      </c>
      <c r="X87" s="7" t="str">
        <f ca="1">IF(DB_TBL_DATA_FIELDS[[#This Row],[PCT_CALC_SHOW_STATUS_CODE]]=1,
DB_TBL_DATA_FIELDS[[#This Row],[FIELD_STATUS_CODE]],
IF(AND(DB_TBL_DATA_FIELDS[[#This Row],[PCT_CALC_SHOW_STATUS_CODE]]=2,DB_TBL_DATA_FIELDS[[#This Row],[FIELD_STATUS_CODE]]=0),
DB_TBL_DATA_FIELDS[[#This Row],[FIELD_STATUS_CODE]],
"")
)</f>
        <v/>
      </c>
      <c r="Y87" s="69"/>
      <c r="Z87" s="12" t="s">
        <v>2304</v>
      </c>
      <c r="AA87" s="12" t="s">
        <v>2460</v>
      </c>
      <c r="AB87" s="12" t="s">
        <v>2511</v>
      </c>
      <c r="AC87" s="12" t="s">
        <v>2656</v>
      </c>
      <c r="AD87" s="12"/>
      <c r="AE87" s="35"/>
    </row>
    <row r="88" spans="1:31" x14ac:dyDescent="0.3">
      <c r="A88" s="10" t="s">
        <v>2790</v>
      </c>
      <c r="B88" s="7" t="str">
        <f>IFERROR(IF(FIND(DATA_EFORM_TYPE_CODE,DB_TBL_DATA_FIELDS[[#This Row],[APPLICABLE_EFORM_LIST]])&gt;0,DATA_EFORM_TYPE_CODE,""),"")</f>
        <v>AHEAD</v>
      </c>
      <c r="C88" s="4" t="s">
        <v>2512</v>
      </c>
      <c r="D88" s="4" t="b">
        <v>1</v>
      </c>
      <c r="E88" s="26" t="b">
        <v>0</v>
      </c>
      <c r="F88" s="6" t="s">
        <v>2520</v>
      </c>
      <c r="G88" s="34" t="b">
        <f ca="1">IFERROR(VLOOKUP(DB_TBL_DATA_FIELDS[[#This Row],[FIELD_ID]],INDIRECT(DB_TBL_DATA_FIELDS[[#This Row],[SHEET_REF_CALC]]&amp;"!A:B"),2,FALSE),"")</f>
        <v>0</v>
      </c>
      <c r="H88" s="34"/>
      <c r="I88" s="6" t="b">
        <f ca="1">(DB_TBL_DATA_FIELDS[[#This Row],[FIELD_VALUE_RAW]]="")</f>
        <v>0</v>
      </c>
      <c r="J88" s="6" t="s">
        <v>168</v>
      </c>
      <c r="K88" s="8" t="b">
        <f>AND(IF(DB_TBL_DATA_FIELDS[[#This Row],[FIELD_VALID_CUSTOM_LOGIC]]="",TRUE,DB_TBL_DATA_FIELDS[[#This Row],[FIELD_VALID_CUSTOM_LOGIC]]),DB_TBL_DATA_FIELDS[[#This Row],[RANGE_VALIDATION_PASSED_FLAG]])</f>
        <v>1</v>
      </c>
      <c r="L88"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N</v>
      </c>
      <c r="M88" s="328">
        <f ca="1">IF(DB_TBL_DATA_FIELDS[[#This Row],[SHEET_REF_CALC]]="","",IF(DB_TBL_DATA_FIELDS[[#This Row],[FIELD_EMPTY_FLAG]],IF(NOT(DB_TBL_DATA_FIELDS[[#This Row],[FIELD_REQ_FLAG]]),-1,1),IF(NOT(DB_TBL_DATA_FIELDS[[#This Row],[FIELD_VALID_FLAG]]),0,2)))</f>
        <v>2</v>
      </c>
      <c r="N88" s="8" t="str">
        <f ca="1">IFERROR(VLOOKUP(DB_TBL_DATA_FIELDS[[#This Row],[FIELD_STATUS_CODE]],DB_TBL_CONFIG_FIELDSTATUSCODES[#All],3,FALSE),"")</f>
        <v>OK</v>
      </c>
      <c r="O88" s="8" t="str">
        <f ca="1">IFERROR(VLOOKUP(DB_TBL_DATA_FIELDS[[#This Row],[FIELD_STATUS_CODE]],DB_TBL_CONFIG_FIELDSTATUSCODES[#All],4,FALSE),"")</f>
        <v>a</v>
      </c>
      <c r="P88" s="8" t="b">
        <f>TRUE</f>
        <v>1</v>
      </c>
      <c r="Q88" s="8" t="b">
        <v>0</v>
      </c>
      <c r="R88" s="4"/>
      <c r="S88" s="8">
        <f ca="1">IF(DB_TBL_DATA_FIELDS[[#This Row],[RANGE_VALIDATION_FLAG]]="Text",LEN(DB_TBL_DATA_FIELDS[[#This Row],[FIELD_VALUE_RAW]]),IFERROR(VALUE(DB_TBL_DATA_FIELDS[[#This Row],[FIELD_VALUE_RAW]]),-1))</f>
        <v>-1</v>
      </c>
      <c r="T88" s="8"/>
      <c r="U88" s="8"/>
      <c r="V88" s="8" t="b">
        <f>IF(NOT(DB_TBL_DATA_FIELDS[[#This Row],[RANGE_VALIDATION_ON_FLAG]]),TRUE,
AND(DB_TBL_DATA_FIELDS[[#This Row],[RANGE_VALUE_LEN]]&gt;=DB_TBL_DATA_FIELDS[[#This Row],[RANGE_VALIDATION_MIN]],DB_TBL_DATA_FIELDS[[#This Row],[RANGE_VALUE_LEN]]&lt;=DB_TBL_DATA_FIELDS[[#This Row],[RANGE_VALIDATION_MAX]]))</f>
        <v>1</v>
      </c>
      <c r="W88" s="7">
        <v>0</v>
      </c>
      <c r="X88" s="7" t="str">
        <f ca="1">IF(DB_TBL_DATA_FIELDS[[#This Row],[PCT_CALC_SHOW_STATUS_CODE]]=1,
DB_TBL_DATA_FIELDS[[#This Row],[FIELD_STATUS_CODE]],
IF(AND(DB_TBL_DATA_FIELDS[[#This Row],[PCT_CALC_SHOW_STATUS_CODE]]=2,DB_TBL_DATA_FIELDS[[#This Row],[FIELD_STATUS_CODE]]=0),
DB_TBL_DATA_FIELDS[[#This Row],[FIELD_STATUS_CODE]],
"")
)</f>
        <v/>
      </c>
      <c r="Y88" s="69"/>
      <c r="Z88" s="12" t="s">
        <v>2304</v>
      </c>
      <c r="AA88" s="12" t="s">
        <v>2460</v>
      </c>
      <c r="AB88" s="12" t="s">
        <v>2512</v>
      </c>
      <c r="AC88" s="12" t="s">
        <v>2656</v>
      </c>
      <c r="AD88" s="12"/>
      <c r="AE88" s="35"/>
    </row>
    <row r="89" spans="1:31" x14ac:dyDescent="0.3">
      <c r="A89" s="10" t="s">
        <v>2790</v>
      </c>
      <c r="B89" s="7" t="str">
        <f>IFERROR(IF(FIND(DATA_EFORM_TYPE_CODE,DB_TBL_DATA_FIELDS[[#This Row],[APPLICABLE_EFORM_LIST]])&gt;0,DATA_EFORM_TYPE_CODE,""),"")</f>
        <v>AHEAD</v>
      </c>
      <c r="C89" s="33" t="s">
        <v>2761</v>
      </c>
      <c r="D89" s="4" t="b">
        <v>1</v>
      </c>
      <c r="E89" s="26" t="b">
        <v>0</v>
      </c>
      <c r="F89" s="6" t="s">
        <v>2763</v>
      </c>
      <c r="G89" s="34" t="b">
        <f ca="1">IFERROR(VLOOKUP(DB_TBL_DATA_FIELDS[[#This Row],[FIELD_ID]],INDIRECT(DB_TBL_DATA_FIELDS[[#This Row],[SHEET_REF_CALC]]&amp;"!A:B"),2,FALSE),"")</f>
        <v>0</v>
      </c>
      <c r="H89" s="34"/>
      <c r="I89" s="6" t="b">
        <f ca="1">(DB_TBL_DATA_FIELDS[[#This Row],[FIELD_VALUE_RAW]]="")</f>
        <v>0</v>
      </c>
      <c r="J89" s="6" t="s">
        <v>168</v>
      </c>
      <c r="K89" s="8" t="b">
        <f>AND(IF(DB_TBL_DATA_FIELDS[[#This Row],[FIELD_VALID_CUSTOM_LOGIC]]="",TRUE,DB_TBL_DATA_FIELDS[[#This Row],[FIELD_VALID_CUSTOM_LOGIC]]),DB_TBL_DATA_FIELDS[[#This Row],[RANGE_VALIDATION_PASSED_FLAG]])</f>
        <v>1</v>
      </c>
      <c r="L89"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N</v>
      </c>
      <c r="M89" s="328">
        <f ca="1">IF(DB_TBL_DATA_FIELDS[[#This Row],[SHEET_REF_CALC]]="","",IF(DB_TBL_DATA_FIELDS[[#This Row],[FIELD_EMPTY_FLAG]],IF(NOT(DB_TBL_DATA_FIELDS[[#This Row],[FIELD_REQ_FLAG]]),-1,1),IF(NOT(DB_TBL_DATA_FIELDS[[#This Row],[FIELD_VALID_FLAG]]),0,2)))</f>
        <v>2</v>
      </c>
      <c r="N89" s="8" t="str">
        <f ca="1">IFERROR(VLOOKUP(DB_TBL_DATA_FIELDS[[#This Row],[FIELD_STATUS_CODE]],DB_TBL_CONFIG_FIELDSTATUSCODES[#All],3,FALSE),"")</f>
        <v>OK</v>
      </c>
      <c r="O89" s="8" t="str">
        <f ca="1">IFERROR(VLOOKUP(DB_TBL_DATA_FIELDS[[#This Row],[FIELD_STATUS_CODE]],DB_TBL_CONFIG_FIELDSTATUSCODES[#All],4,FALSE),"")</f>
        <v>a</v>
      </c>
      <c r="P89" s="8" t="b">
        <f>TRUE</f>
        <v>1</v>
      </c>
      <c r="Q89" s="8" t="b">
        <v>0</v>
      </c>
      <c r="R89" s="4"/>
      <c r="S89" s="8">
        <f ca="1">IF(DB_TBL_DATA_FIELDS[[#This Row],[RANGE_VALIDATION_FLAG]]="Text",LEN(DB_TBL_DATA_FIELDS[[#This Row],[FIELD_VALUE_RAW]]),IFERROR(VALUE(DB_TBL_DATA_FIELDS[[#This Row],[FIELD_VALUE_RAW]]),-1))</f>
        <v>-1</v>
      </c>
      <c r="T89" s="8"/>
      <c r="U89" s="8"/>
      <c r="V89" s="8" t="b">
        <f>IF(NOT(DB_TBL_DATA_FIELDS[[#This Row],[RANGE_VALIDATION_ON_FLAG]]),TRUE,
AND(DB_TBL_DATA_FIELDS[[#This Row],[RANGE_VALUE_LEN]]&gt;=DB_TBL_DATA_FIELDS[[#This Row],[RANGE_VALIDATION_MIN]],DB_TBL_DATA_FIELDS[[#This Row],[RANGE_VALUE_LEN]]&lt;=DB_TBL_DATA_FIELDS[[#This Row],[RANGE_VALIDATION_MAX]]))</f>
        <v>1</v>
      </c>
      <c r="W89" s="7">
        <v>0</v>
      </c>
      <c r="X89" s="7" t="str">
        <f ca="1">IF(DB_TBL_DATA_FIELDS[[#This Row],[PCT_CALC_SHOW_STATUS_CODE]]=1,
DB_TBL_DATA_FIELDS[[#This Row],[FIELD_STATUS_CODE]],
IF(AND(DB_TBL_DATA_FIELDS[[#This Row],[PCT_CALC_SHOW_STATUS_CODE]]=2,DB_TBL_DATA_FIELDS[[#This Row],[FIELD_STATUS_CODE]]=0),
DB_TBL_DATA_FIELDS[[#This Row],[FIELD_STATUS_CODE]],
"")
)</f>
        <v/>
      </c>
      <c r="Y89" s="69"/>
      <c r="Z89" s="12" t="s">
        <v>2766</v>
      </c>
      <c r="AA89" s="12" t="s">
        <v>2460</v>
      </c>
      <c r="AB89" s="12" t="s">
        <v>2767</v>
      </c>
      <c r="AC89" s="12" t="s">
        <v>2656</v>
      </c>
      <c r="AD89" s="12"/>
      <c r="AE89" s="35" t="s">
        <v>2768</v>
      </c>
    </row>
    <row r="90" spans="1:31" x14ac:dyDescent="0.3">
      <c r="A90" s="10" t="s">
        <v>2790</v>
      </c>
      <c r="B90" s="7" t="str">
        <f>IFERROR(IF(FIND(DATA_EFORM_TYPE_CODE,DB_TBL_DATA_FIELDS[[#This Row],[APPLICABLE_EFORM_LIST]])&gt;0,DATA_EFORM_TYPE_CODE,""),"")</f>
        <v>AHEAD</v>
      </c>
      <c r="C90" s="33" t="s">
        <v>2760</v>
      </c>
      <c r="D90" s="4" t="b">
        <v>1</v>
      </c>
      <c r="E90" s="26" t="b">
        <v>0</v>
      </c>
      <c r="F90" s="6" t="s">
        <v>2764</v>
      </c>
      <c r="G90" s="34" t="b">
        <f ca="1">IFERROR(VLOOKUP(DB_TBL_DATA_FIELDS[[#This Row],[FIELD_ID]],INDIRECT(DB_TBL_DATA_FIELDS[[#This Row],[SHEET_REF_CALC]]&amp;"!A:B"),2,FALSE),"")</f>
        <v>0</v>
      </c>
      <c r="H90" s="34"/>
      <c r="I90" s="6" t="b">
        <f ca="1">(DB_TBL_DATA_FIELDS[[#This Row],[FIELD_VALUE_RAW]]="")</f>
        <v>0</v>
      </c>
      <c r="J90" s="6" t="s">
        <v>168</v>
      </c>
      <c r="K90" s="8" t="b">
        <f>AND(IF(DB_TBL_DATA_FIELDS[[#This Row],[FIELD_VALID_CUSTOM_LOGIC]]="",TRUE,DB_TBL_DATA_FIELDS[[#This Row],[FIELD_VALID_CUSTOM_LOGIC]]),DB_TBL_DATA_FIELDS[[#This Row],[RANGE_VALIDATION_PASSED_FLAG]])</f>
        <v>1</v>
      </c>
      <c r="L90"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N</v>
      </c>
      <c r="M90" s="328">
        <f ca="1">IF(DB_TBL_DATA_FIELDS[[#This Row],[SHEET_REF_CALC]]="","",IF(DB_TBL_DATA_FIELDS[[#This Row],[FIELD_EMPTY_FLAG]],IF(NOT(DB_TBL_DATA_FIELDS[[#This Row],[FIELD_REQ_FLAG]]),-1,1),IF(NOT(DB_TBL_DATA_FIELDS[[#This Row],[FIELD_VALID_FLAG]]),0,2)))</f>
        <v>2</v>
      </c>
      <c r="N90" s="8" t="str">
        <f ca="1">IFERROR(VLOOKUP(DB_TBL_DATA_FIELDS[[#This Row],[FIELD_STATUS_CODE]],DB_TBL_CONFIG_FIELDSTATUSCODES[#All],3,FALSE),"")</f>
        <v>OK</v>
      </c>
      <c r="O90" s="8" t="str">
        <f ca="1">IFERROR(VLOOKUP(DB_TBL_DATA_FIELDS[[#This Row],[FIELD_STATUS_CODE]],DB_TBL_CONFIG_FIELDSTATUSCODES[#All],4,FALSE),"")</f>
        <v>a</v>
      </c>
      <c r="P90" s="8" t="b">
        <f>TRUE</f>
        <v>1</v>
      </c>
      <c r="Q90" s="8" t="b">
        <v>0</v>
      </c>
      <c r="R90" s="4"/>
      <c r="S90" s="8">
        <f ca="1">IF(DB_TBL_DATA_FIELDS[[#This Row],[RANGE_VALIDATION_FLAG]]="Text",LEN(DB_TBL_DATA_FIELDS[[#This Row],[FIELD_VALUE_RAW]]),IFERROR(VALUE(DB_TBL_DATA_FIELDS[[#This Row],[FIELD_VALUE_RAW]]),-1))</f>
        <v>-1</v>
      </c>
      <c r="T90" s="8"/>
      <c r="U90" s="8"/>
      <c r="V90" s="8" t="b">
        <f>IF(NOT(DB_TBL_DATA_FIELDS[[#This Row],[RANGE_VALIDATION_ON_FLAG]]),TRUE,
AND(DB_TBL_DATA_FIELDS[[#This Row],[RANGE_VALUE_LEN]]&gt;=DB_TBL_DATA_FIELDS[[#This Row],[RANGE_VALIDATION_MIN]],DB_TBL_DATA_FIELDS[[#This Row],[RANGE_VALUE_LEN]]&lt;=DB_TBL_DATA_FIELDS[[#This Row],[RANGE_VALIDATION_MAX]]))</f>
        <v>1</v>
      </c>
      <c r="W90" s="7">
        <v>0</v>
      </c>
      <c r="X90" s="7" t="str">
        <f ca="1">IF(DB_TBL_DATA_FIELDS[[#This Row],[PCT_CALC_SHOW_STATUS_CODE]]=1,
DB_TBL_DATA_FIELDS[[#This Row],[FIELD_STATUS_CODE]],
IF(AND(DB_TBL_DATA_FIELDS[[#This Row],[PCT_CALC_SHOW_STATUS_CODE]]=2,DB_TBL_DATA_FIELDS[[#This Row],[FIELD_STATUS_CODE]]=0),
DB_TBL_DATA_FIELDS[[#This Row],[FIELD_STATUS_CODE]],
"")
)</f>
        <v/>
      </c>
      <c r="Y90" s="69"/>
      <c r="Z90" s="12" t="s">
        <v>2766</v>
      </c>
      <c r="AA90" s="12" t="s">
        <v>2460</v>
      </c>
      <c r="AB90" s="12" t="s">
        <v>2767</v>
      </c>
      <c r="AC90" s="12" t="s">
        <v>2656</v>
      </c>
      <c r="AD90" s="12"/>
      <c r="AE90" s="35" t="s">
        <v>2768</v>
      </c>
    </row>
    <row r="91" spans="1:31" x14ac:dyDescent="0.3">
      <c r="A91" s="10" t="s">
        <v>2790</v>
      </c>
      <c r="B91" s="7" t="str">
        <f>IFERROR(IF(FIND(DATA_EFORM_TYPE_CODE,DB_TBL_DATA_FIELDS[[#This Row],[APPLICABLE_EFORM_LIST]])&gt;0,DATA_EFORM_TYPE_CODE,""),"")</f>
        <v>AHEAD</v>
      </c>
      <c r="C91" s="33" t="s">
        <v>2762</v>
      </c>
      <c r="D91" s="4" t="b">
        <v>1</v>
      </c>
      <c r="E91" s="26" t="b">
        <v>0</v>
      </c>
      <c r="F91" s="6" t="s">
        <v>2765</v>
      </c>
      <c r="G91" s="34" t="b">
        <f ca="1">IFERROR(VLOOKUP(DB_TBL_DATA_FIELDS[[#This Row],[FIELD_ID]],INDIRECT(DB_TBL_DATA_FIELDS[[#This Row],[SHEET_REF_CALC]]&amp;"!A:B"),2,FALSE),"")</f>
        <v>0</v>
      </c>
      <c r="H91" s="34"/>
      <c r="I91" s="6" t="b">
        <f ca="1">(DB_TBL_DATA_FIELDS[[#This Row],[FIELD_VALUE_RAW]]="")</f>
        <v>0</v>
      </c>
      <c r="J91" s="6" t="s">
        <v>168</v>
      </c>
      <c r="K91" s="8" t="b">
        <f>AND(IF(DB_TBL_DATA_FIELDS[[#This Row],[FIELD_VALID_CUSTOM_LOGIC]]="",TRUE,DB_TBL_DATA_FIELDS[[#This Row],[FIELD_VALID_CUSTOM_LOGIC]]),DB_TBL_DATA_FIELDS[[#This Row],[RANGE_VALIDATION_PASSED_FLAG]])</f>
        <v>1</v>
      </c>
      <c r="L91"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N</v>
      </c>
      <c r="M91" s="328">
        <f ca="1">IF(DB_TBL_DATA_FIELDS[[#This Row],[SHEET_REF_CALC]]="","",IF(DB_TBL_DATA_FIELDS[[#This Row],[FIELD_EMPTY_FLAG]],IF(NOT(DB_TBL_DATA_FIELDS[[#This Row],[FIELD_REQ_FLAG]]),-1,1),IF(NOT(DB_TBL_DATA_FIELDS[[#This Row],[FIELD_VALID_FLAG]]),0,2)))</f>
        <v>2</v>
      </c>
      <c r="N91" s="8" t="str">
        <f ca="1">IFERROR(VLOOKUP(DB_TBL_DATA_FIELDS[[#This Row],[FIELD_STATUS_CODE]],DB_TBL_CONFIG_FIELDSTATUSCODES[#All],3,FALSE),"")</f>
        <v>OK</v>
      </c>
      <c r="O91" s="8" t="str">
        <f ca="1">IFERROR(VLOOKUP(DB_TBL_DATA_FIELDS[[#This Row],[FIELD_STATUS_CODE]],DB_TBL_CONFIG_FIELDSTATUSCODES[#All],4,FALSE),"")</f>
        <v>a</v>
      </c>
      <c r="P91" s="8" t="b">
        <f>TRUE</f>
        <v>1</v>
      </c>
      <c r="Q91" s="8" t="b">
        <v>0</v>
      </c>
      <c r="R91" s="4"/>
      <c r="S91" s="8">
        <f ca="1">IF(DB_TBL_DATA_FIELDS[[#This Row],[RANGE_VALIDATION_FLAG]]="Text",LEN(DB_TBL_DATA_FIELDS[[#This Row],[FIELD_VALUE_RAW]]),IFERROR(VALUE(DB_TBL_DATA_FIELDS[[#This Row],[FIELD_VALUE_RAW]]),-1))</f>
        <v>-1</v>
      </c>
      <c r="T91" s="8"/>
      <c r="U91" s="8"/>
      <c r="V91" s="8" t="b">
        <f>IF(NOT(DB_TBL_DATA_FIELDS[[#This Row],[RANGE_VALIDATION_ON_FLAG]]),TRUE,
AND(DB_TBL_DATA_FIELDS[[#This Row],[RANGE_VALUE_LEN]]&gt;=DB_TBL_DATA_FIELDS[[#This Row],[RANGE_VALIDATION_MIN]],DB_TBL_DATA_FIELDS[[#This Row],[RANGE_VALUE_LEN]]&lt;=DB_TBL_DATA_FIELDS[[#This Row],[RANGE_VALIDATION_MAX]]))</f>
        <v>1</v>
      </c>
      <c r="W91" s="7">
        <v>0</v>
      </c>
      <c r="X91" s="7" t="str">
        <f ca="1">IF(DB_TBL_DATA_FIELDS[[#This Row],[PCT_CALC_SHOW_STATUS_CODE]]=1,
DB_TBL_DATA_FIELDS[[#This Row],[FIELD_STATUS_CODE]],
IF(AND(DB_TBL_DATA_FIELDS[[#This Row],[PCT_CALC_SHOW_STATUS_CODE]]=2,DB_TBL_DATA_FIELDS[[#This Row],[FIELD_STATUS_CODE]]=0),
DB_TBL_DATA_FIELDS[[#This Row],[FIELD_STATUS_CODE]],
"")
)</f>
        <v/>
      </c>
      <c r="Y91" s="69"/>
      <c r="Z91" s="12" t="s">
        <v>2766</v>
      </c>
      <c r="AA91" s="12" t="s">
        <v>2460</v>
      </c>
      <c r="AB91" s="12" t="s">
        <v>2767</v>
      </c>
      <c r="AC91" s="12" t="s">
        <v>2656</v>
      </c>
      <c r="AD91" s="12"/>
      <c r="AE91" s="35" t="s">
        <v>2768</v>
      </c>
    </row>
    <row r="92" spans="1:31" x14ac:dyDescent="0.3">
      <c r="A92" s="10" t="s">
        <v>2771</v>
      </c>
      <c r="B92" s="7" t="str">
        <f>IFERROR(IF(FIND(DATA_EFORM_TYPE_CODE,DB_TBL_DATA_FIELDS[[#This Row],[APPLICABLE_EFORM_LIST]])&gt;0,DATA_EFORM_TYPE_CODE,""),"")</f>
        <v>AHEAD</v>
      </c>
      <c r="C92" s="33" t="s">
        <v>2806</v>
      </c>
      <c r="D92" s="4" t="b">
        <v>1</v>
      </c>
      <c r="E92" s="26" t="b">
        <v>0</v>
      </c>
      <c r="F92" s="6" t="s">
        <v>2805</v>
      </c>
      <c r="G92" s="34" t="b">
        <f ca="1">IFERROR(VLOOKUP(DB_TBL_DATA_FIELDS[[#This Row],[FIELD_ID]],INDIRECT(DB_TBL_DATA_FIELDS[[#This Row],[SHEET_REF_CALC]]&amp;"!A:B"),2,FALSE),"")</f>
        <v>0</v>
      </c>
      <c r="H92" s="34"/>
      <c r="I92" s="6" t="b">
        <f ca="1">(DB_TBL_DATA_FIELDS[[#This Row],[FIELD_VALUE_RAW]]="")</f>
        <v>0</v>
      </c>
      <c r="J92" s="6" t="s">
        <v>168</v>
      </c>
      <c r="K92" s="8" t="b">
        <f>AND(IF(DB_TBL_DATA_FIELDS[[#This Row],[FIELD_VALID_CUSTOM_LOGIC]]="",TRUE,DB_TBL_DATA_FIELDS[[#This Row],[FIELD_VALID_CUSTOM_LOGIC]]),DB_TBL_DATA_FIELDS[[#This Row],[RANGE_VALIDATION_PASSED_FLAG]])</f>
        <v>1</v>
      </c>
      <c r="L92"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N</v>
      </c>
      <c r="M92" s="328">
        <f ca="1">IF(DB_TBL_DATA_FIELDS[[#This Row],[SHEET_REF_CALC]]="","",IF(DB_TBL_DATA_FIELDS[[#This Row],[FIELD_EMPTY_FLAG]],IF(NOT(DB_TBL_DATA_FIELDS[[#This Row],[FIELD_REQ_FLAG]]),-1,1),IF(NOT(DB_TBL_DATA_FIELDS[[#This Row],[FIELD_VALID_FLAG]]),0,2)))</f>
        <v>2</v>
      </c>
      <c r="N92" s="8" t="str">
        <f ca="1">IFERROR(VLOOKUP(DB_TBL_DATA_FIELDS[[#This Row],[FIELD_STATUS_CODE]],DB_TBL_CONFIG_FIELDSTATUSCODES[#All],3,FALSE),"")</f>
        <v>OK</v>
      </c>
      <c r="O92" s="8" t="str">
        <f ca="1">IFERROR(VLOOKUP(DB_TBL_DATA_FIELDS[[#This Row],[FIELD_STATUS_CODE]],DB_TBL_CONFIG_FIELDSTATUSCODES[#All],4,FALSE),"")</f>
        <v>a</v>
      </c>
      <c r="P92" s="8" t="b">
        <f>TRUE</f>
        <v>1</v>
      </c>
      <c r="Q92" s="8" t="b">
        <v>0</v>
      </c>
      <c r="R92" s="4"/>
      <c r="S92" s="8">
        <f ca="1">IF(DB_TBL_DATA_FIELDS[[#This Row],[RANGE_VALIDATION_FLAG]]="Text",LEN(DB_TBL_DATA_FIELDS[[#This Row],[FIELD_VALUE_RAW]]),IFERROR(VALUE(DB_TBL_DATA_FIELDS[[#This Row],[FIELD_VALUE_RAW]]),-1))</f>
        <v>-1</v>
      </c>
      <c r="T92" s="8"/>
      <c r="U92" s="8"/>
      <c r="V92" s="8" t="b">
        <f>IF(NOT(DB_TBL_DATA_FIELDS[[#This Row],[RANGE_VALIDATION_ON_FLAG]]),TRUE,
AND(DB_TBL_DATA_FIELDS[[#This Row],[RANGE_VALUE_LEN]]&gt;=DB_TBL_DATA_FIELDS[[#This Row],[RANGE_VALIDATION_MIN]],DB_TBL_DATA_FIELDS[[#This Row],[RANGE_VALUE_LEN]]&lt;=DB_TBL_DATA_FIELDS[[#This Row],[RANGE_VALIDATION_MAX]]))</f>
        <v>1</v>
      </c>
      <c r="W92" s="7">
        <v>0</v>
      </c>
      <c r="X92" s="7" t="str">
        <f ca="1">IF(DB_TBL_DATA_FIELDS[[#This Row],[PCT_CALC_SHOW_STATUS_CODE]]=1,
DB_TBL_DATA_FIELDS[[#This Row],[FIELD_STATUS_CODE]],
IF(AND(DB_TBL_DATA_FIELDS[[#This Row],[PCT_CALC_SHOW_STATUS_CODE]]=2,DB_TBL_DATA_FIELDS[[#This Row],[FIELD_STATUS_CODE]]=0),
DB_TBL_DATA_FIELDS[[#This Row],[FIELD_STATUS_CODE]],
"")
)</f>
        <v/>
      </c>
      <c r="Y92" s="69"/>
      <c r="Z92" s="12" t="s">
        <v>2798</v>
      </c>
      <c r="AA92" s="12" t="s">
        <v>2460</v>
      </c>
      <c r="AB92" s="12" t="s">
        <v>2767</v>
      </c>
      <c r="AC92" s="12" t="s">
        <v>2656</v>
      </c>
      <c r="AD92" s="12"/>
      <c r="AE92" s="35" t="s">
        <v>2797</v>
      </c>
    </row>
    <row r="93" spans="1:31" x14ac:dyDescent="0.3">
      <c r="A93" s="10" t="s">
        <v>2771</v>
      </c>
      <c r="B93" s="7" t="str">
        <f>IFERROR(IF(FIND(DATA_EFORM_TYPE_CODE,DB_TBL_DATA_FIELDS[[#This Row],[APPLICABLE_EFORM_LIST]])&gt;0,DATA_EFORM_TYPE_CODE,""),"")</f>
        <v>AHEAD</v>
      </c>
      <c r="C93" s="33" t="s">
        <v>2838</v>
      </c>
      <c r="D93" s="4" t="b">
        <v>1</v>
      </c>
      <c r="E93" s="26" t="b">
        <v>0</v>
      </c>
      <c r="F93" s="6" t="s">
        <v>2840</v>
      </c>
      <c r="G93" s="34" t="b">
        <f ca="1">IFERROR(VLOOKUP(DB_TBL_DATA_FIELDS[[#This Row],[FIELD_ID]],INDIRECT(DB_TBL_DATA_FIELDS[[#This Row],[SHEET_REF_CALC]]&amp;"!A:B"),2,FALSE),"")</f>
        <v>0</v>
      </c>
      <c r="H93" s="34"/>
      <c r="I93" s="6" t="b">
        <f ca="1">(DB_TBL_DATA_FIELDS[[#This Row],[FIELD_VALUE_RAW]]="")</f>
        <v>0</v>
      </c>
      <c r="J93" s="6" t="s">
        <v>168</v>
      </c>
      <c r="K93" s="8" t="b">
        <f>AND(IF(DB_TBL_DATA_FIELDS[[#This Row],[FIELD_VALID_CUSTOM_LOGIC]]="",TRUE,DB_TBL_DATA_FIELDS[[#This Row],[FIELD_VALID_CUSTOM_LOGIC]]),DB_TBL_DATA_FIELDS[[#This Row],[RANGE_VALIDATION_PASSED_FLAG]])</f>
        <v>1</v>
      </c>
      <c r="L93"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N</v>
      </c>
      <c r="M93" s="328">
        <f ca="1">IF(DB_TBL_DATA_FIELDS[[#This Row],[SHEET_REF_CALC]]="","",IF(DB_TBL_DATA_FIELDS[[#This Row],[FIELD_EMPTY_FLAG]],IF(NOT(DB_TBL_DATA_FIELDS[[#This Row],[FIELD_REQ_FLAG]]),-1,1),IF(NOT(DB_TBL_DATA_FIELDS[[#This Row],[FIELD_VALID_FLAG]]),0,2)))</f>
        <v>2</v>
      </c>
      <c r="N93" s="8" t="str">
        <f ca="1">IFERROR(VLOOKUP(DB_TBL_DATA_FIELDS[[#This Row],[FIELD_STATUS_CODE]],DB_TBL_CONFIG_FIELDSTATUSCODES[#All],3,FALSE),"")</f>
        <v>OK</v>
      </c>
      <c r="O93" s="8" t="str">
        <f ca="1">IFERROR(VLOOKUP(DB_TBL_DATA_FIELDS[[#This Row],[FIELD_STATUS_CODE]],DB_TBL_CONFIG_FIELDSTATUSCODES[#All],4,FALSE),"")</f>
        <v>a</v>
      </c>
      <c r="P93" s="8" t="b">
        <f>TRUE</f>
        <v>1</v>
      </c>
      <c r="Q93" s="8" t="b">
        <v>0</v>
      </c>
      <c r="R93" s="4"/>
      <c r="S93" s="8">
        <f ca="1">IF(DB_TBL_DATA_FIELDS[[#This Row],[RANGE_VALIDATION_FLAG]]="Text",LEN(DB_TBL_DATA_FIELDS[[#This Row],[FIELD_VALUE_RAW]]),IFERROR(VALUE(DB_TBL_DATA_FIELDS[[#This Row],[FIELD_VALUE_RAW]]),-1))</f>
        <v>-1</v>
      </c>
      <c r="T93" s="8"/>
      <c r="U93" s="8"/>
      <c r="V93" s="8" t="b">
        <f>IF(NOT(DB_TBL_DATA_FIELDS[[#This Row],[RANGE_VALIDATION_ON_FLAG]]),TRUE,
AND(DB_TBL_DATA_FIELDS[[#This Row],[RANGE_VALUE_LEN]]&gt;=DB_TBL_DATA_FIELDS[[#This Row],[RANGE_VALIDATION_MIN]],DB_TBL_DATA_FIELDS[[#This Row],[RANGE_VALUE_LEN]]&lt;=DB_TBL_DATA_FIELDS[[#This Row],[RANGE_VALIDATION_MAX]]))</f>
        <v>1</v>
      </c>
      <c r="W93" s="7">
        <v>0</v>
      </c>
      <c r="X93" s="7" t="str">
        <f ca="1">IF(DB_TBL_DATA_FIELDS[[#This Row],[PCT_CALC_SHOW_STATUS_CODE]]=1,
DB_TBL_DATA_FIELDS[[#This Row],[FIELD_STATUS_CODE]],
IF(AND(DB_TBL_DATA_FIELDS[[#This Row],[PCT_CALC_SHOW_STATUS_CODE]]=2,DB_TBL_DATA_FIELDS[[#This Row],[FIELD_STATUS_CODE]]=0),
DB_TBL_DATA_FIELDS[[#This Row],[FIELD_STATUS_CODE]],
"")
)</f>
        <v/>
      </c>
      <c r="Y93" s="69"/>
      <c r="Z93" s="12" t="s">
        <v>2844</v>
      </c>
      <c r="AA93" s="12" t="s">
        <v>2460</v>
      </c>
      <c r="AB93" s="12" t="s">
        <v>2767</v>
      </c>
      <c r="AC93" s="12" t="s">
        <v>2656</v>
      </c>
      <c r="AD93" s="12"/>
      <c r="AE93" s="35" t="s">
        <v>2845</v>
      </c>
    </row>
    <row r="94" spans="1:31" x14ac:dyDescent="0.3">
      <c r="A94" s="10" t="s">
        <v>2771</v>
      </c>
      <c r="B94" s="7" t="str">
        <f>IFERROR(IF(FIND(DATA_EFORM_TYPE_CODE,DB_TBL_DATA_FIELDS[[#This Row],[APPLICABLE_EFORM_LIST]])&gt;0,DATA_EFORM_TYPE_CODE,""),"")</f>
        <v>AHEAD</v>
      </c>
      <c r="C94" s="33" t="s">
        <v>2843</v>
      </c>
      <c r="D94" s="4" t="b">
        <v>1</v>
      </c>
      <c r="E94" s="26" t="b">
        <v>0</v>
      </c>
      <c r="F94" s="6" t="s">
        <v>2841</v>
      </c>
      <c r="G94" s="34" t="b">
        <f ca="1">IFERROR(VLOOKUP(DB_TBL_DATA_FIELDS[[#This Row],[FIELD_ID]],INDIRECT(DB_TBL_DATA_FIELDS[[#This Row],[SHEET_REF_CALC]]&amp;"!A:B"),2,FALSE),"")</f>
        <v>0</v>
      </c>
      <c r="H94" s="34"/>
      <c r="I94" s="6" t="b">
        <f ca="1">(DB_TBL_DATA_FIELDS[[#This Row],[FIELD_VALUE_RAW]]="")</f>
        <v>0</v>
      </c>
      <c r="J94" s="6" t="s">
        <v>168</v>
      </c>
      <c r="K94" s="8" t="b">
        <f>AND(IF(DB_TBL_DATA_FIELDS[[#This Row],[FIELD_VALID_CUSTOM_LOGIC]]="",TRUE,DB_TBL_DATA_FIELDS[[#This Row],[FIELD_VALID_CUSTOM_LOGIC]]),DB_TBL_DATA_FIELDS[[#This Row],[RANGE_VALIDATION_PASSED_FLAG]])</f>
        <v>1</v>
      </c>
      <c r="L94"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N</v>
      </c>
      <c r="M94" s="328">
        <f ca="1">IF(DB_TBL_DATA_FIELDS[[#This Row],[SHEET_REF_CALC]]="","",IF(DB_TBL_DATA_FIELDS[[#This Row],[FIELD_EMPTY_FLAG]],IF(NOT(DB_TBL_DATA_FIELDS[[#This Row],[FIELD_REQ_FLAG]]),-1,1),IF(NOT(DB_TBL_DATA_FIELDS[[#This Row],[FIELD_VALID_FLAG]]),0,2)))</f>
        <v>2</v>
      </c>
      <c r="N94" s="8" t="str">
        <f ca="1">IFERROR(VLOOKUP(DB_TBL_DATA_FIELDS[[#This Row],[FIELD_STATUS_CODE]],DB_TBL_CONFIG_FIELDSTATUSCODES[#All],3,FALSE),"")</f>
        <v>OK</v>
      </c>
      <c r="O94" s="8" t="str">
        <f ca="1">IFERROR(VLOOKUP(DB_TBL_DATA_FIELDS[[#This Row],[FIELD_STATUS_CODE]],DB_TBL_CONFIG_FIELDSTATUSCODES[#All],4,FALSE),"")</f>
        <v>a</v>
      </c>
      <c r="P94" s="8" t="b">
        <f>TRUE</f>
        <v>1</v>
      </c>
      <c r="Q94" s="8" t="b">
        <v>0</v>
      </c>
      <c r="R94" s="4"/>
      <c r="S94" s="8">
        <f ca="1">IF(DB_TBL_DATA_FIELDS[[#This Row],[RANGE_VALIDATION_FLAG]]="Text",LEN(DB_TBL_DATA_FIELDS[[#This Row],[FIELD_VALUE_RAW]]),IFERROR(VALUE(DB_TBL_DATA_FIELDS[[#This Row],[FIELD_VALUE_RAW]]),-1))</f>
        <v>-1</v>
      </c>
      <c r="T94" s="8"/>
      <c r="U94" s="8"/>
      <c r="V94" s="8" t="b">
        <f>IF(NOT(DB_TBL_DATA_FIELDS[[#This Row],[RANGE_VALIDATION_ON_FLAG]]),TRUE,
AND(DB_TBL_DATA_FIELDS[[#This Row],[RANGE_VALUE_LEN]]&gt;=DB_TBL_DATA_FIELDS[[#This Row],[RANGE_VALIDATION_MIN]],DB_TBL_DATA_FIELDS[[#This Row],[RANGE_VALUE_LEN]]&lt;=DB_TBL_DATA_FIELDS[[#This Row],[RANGE_VALIDATION_MAX]]))</f>
        <v>1</v>
      </c>
      <c r="W94" s="7">
        <v>0</v>
      </c>
      <c r="X94" s="7" t="str">
        <f ca="1">IF(DB_TBL_DATA_FIELDS[[#This Row],[PCT_CALC_SHOW_STATUS_CODE]]=1,
DB_TBL_DATA_FIELDS[[#This Row],[FIELD_STATUS_CODE]],
IF(AND(DB_TBL_DATA_FIELDS[[#This Row],[PCT_CALC_SHOW_STATUS_CODE]]=2,DB_TBL_DATA_FIELDS[[#This Row],[FIELD_STATUS_CODE]]=0),
DB_TBL_DATA_FIELDS[[#This Row],[FIELD_STATUS_CODE]],
"")
)</f>
        <v/>
      </c>
      <c r="Y94" s="69"/>
      <c r="Z94" s="12" t="s">
        <v>2844</v>
      </c>
      <c r="AA94" s="12" t="s">
        <v>2460</v>
      </c>
      <c r="AB94" s="12" t="s">
        <v>2767</v>
      </c>
      <c r="AC94" s="12" t="s">
        <v>2656</v>
      </c>
      <c r="AD94" s="12"/>
      <c r="AE94" s="35" t="s">
        <v>2845</v>
      </c>
    </row>
    <row r="95" spans="1:31" x14ac:dyDescent="0.3">
      <c r="A95" s="10" t="s">
        <v>2771</v>
      </c>
      <c r="B95" s="7" t="str">
        <f>IFERROR(IF(FIND(DATA_EFORM_TYPE_CODE,DB_TBL_DATA_FIELDS[[#This Row],[APPLICABLE_EFORM_LIST]])&gt;0,DATA_EFORM_TYPE_CODE,""),"")</f>
        <v>AHEAD</v>
      </c>
      <c r="C95" s="33" t="s">
        <v>2839</v>
      </c>
      <c r="D95" s="4" t="b">
        <v>1</v>
      </c>
      <c r="E95" s="26" t="b">
        <v>0</v>
      </c>
      <c r="F95" s="6" t="s">
        <v>2842</v>
      </c>
      <c r="G95" s="34" t="b">
        <f ca="1">IFERROR(VLOOKUP(DB_TBL_DATA_FIELDS[[#This Row],[FIELD_ID]],INDIRECT(DB_TBL_DATA_FIELDS[[#This Row],[SHEET_REF_CALC]]&amp;"!A:B"),2,FALSE),"")</f>
        <v>0</v>
      </c>
      <c r="H95" s="34"/>
      <c r="I95" s="6" t="b">
        <f ca="1">(DB_TBL_DATA_FIELDS[[#This Row],[FIELD_VALUE_RAW]]="")</f>
        <v>0</v>
      </c>
      <c r="J95" s="6" t="s">
        <v>168</v>
      </c>
      <c r="K95" s="8" t="b">
        <f>AND(IF(DB_TBL_DATA_FIELDS[[#This Row],[FIELD_VALID_CUSTOM_LOGIC]]="",TRUE,DB_TBL_DATA_FIELDS[[#This Row],[FIELD_VALID_CUSTOM_LOGIC]]),DB_TBL_DATA_FIELDS[[#This Row],[RANGE_VALIDATION_PASSED_FLAG]])</f>
        <v>1</v>
      </c>
      <c r="L95"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N</v>
      </c>
      <c r="M95" s="328">
        <f ca="1">IF(DB_TBL_DATA_FIELDS[[#This Row],[SHEET_REF_CALC]]="","",IF(DB_TBL_DATA_FIELDS[[#This Row],[FIELD_EMPTY_FLAG]],IF(NOT(DB_TBL_DATA_FIELDS[[#This Row],[FIELD_REQ_FLAG]]),-1,1),IF(NOT(DB_TBL_DATA_FIELDS[[#This Row],[FIELD_VALID_FLAG]]),0,2)))</f>
        <v>2</v>
      </c>
      <c r="N95" s="8" t="str">
        <f ca="1">IFERROR(VLOOKUP(DB_TBL_DATA_FIELDS[[#This Row],[FIELD_STATUS_CODE]],DB_TBL_CONFIG_FIELDSTATUSCODES[#All],3,FALSE),"")</f>
        <v>OK</v>
      </c>
      <c r="O95" s="8" t="str">
        <f ca="1">IFERROR(VLOOKUP(DB_TBL_DATA_FIELDS[[#This Row],[FIELD_STATUS_CODE]],DB_TBL_CONFIG_FIELDSTATUSCODES[#All],4,FALSE),"")</f>
        <v>a</v>
      </c>
      <c r="P95" s="8" t="b">
        <f>TRUE</f>
        <v>1</v>
      </c>
      <c r="Q95" s="8" t="b">
        <v>0</v>
      </c>
      <c r="R95" s="4"/>
      <c r="S95" s="8">
        <f ca="1">IF(DB_TBL_DATA_FIELDS[[#This Row],[RANGE_VALIDATION_FLAG]]="Text",LEN(DB_TBL_DATA_FIELDS[[#This Row],[FIELD_VALUE_RAW]]),IFERROR(VALUE(DB_TBL_DATA_FIELDS[[#This Row],[FIELD_VALUE_RAW]]),-1))</f>
        <v>-1</v>
      </c>
      <c r="T95" s="8"/>
      <c r="U95" s="8"/>
      <c r="V95" s="8" t="b">
        <f>IF(NOT(DB_TBL_DATA_FIELDS[[#This Row],[RANGE_VALIDATION_ON_FLAG]]),TRUE,
AND(DB_TBL_DATA_FIELDS[[#This Row],[RANGE_VALUE_LEN]]&gt;=DB_TBL_DATA_FIELDS[[#This Row],[RANGE_VALIDATION_MIN]],DB_TBL_DATA_FIELDS[[#This Row],[RANGE_VALUE_LEN]]&lt;=DB_TBL_DATA_FIELDS[[#This Row],[RANGE_VALIDATION_MAX]]))</f>
        <v>1</v>
      </c>
      <c r="W95" s="7">
        <v>0</v>
      </c>
      <c r="X95" s="7" t="str">
        <f ca="1">IF(DB_TBL_DATA_FIELDS[[#This Row],[PCT_CALC_SHOW_STATUS_CODE]]=1,
DB_TBL_DATA_FIELDS[[#This Row],[FIELD_STATUS_CODE]],
IF(AND(DB_TBL_DATA_FIELDS[[#This Row],[PCT_CALC_SHOW_STATUS_CODE]]=2,DB_TBL_DATA_FIELDS[[#This Row],[FIELD_STATUS_CODE]]=0),
DB_TBL_DATA_FIELDS[[#This Row],[FIELD_STATUS_CODE]],
"")
)</f>
        <v/>
      </c>
      <c r="Y95" s="69"/>
      <c r="Z95" s="12" t="s">
        <v>2844</v>
      </c>
      <c r="AA95" s="12" t="s">
        <v>2460</v>
      </c>
      <c r="AB95" s="12" t="s">
        <v>2767</v>
      </c>
      <c r="AC95" s="12" t="s">
        <v>2656</v>
      </c>
      <c r="AD95" s="12"/>
      <c r="AE95" s="35" t="s">
        <v>2845</v>
      </c>
    </row>
    <row r="96" spans="1:31" x14ac:dyDescent="0.3">
      <c r="A96" s="10" t="s">
        <v>2790</v>
      </c>
      <c r="B96" s="7" t="str">
        <f>IFERROR(IF(FIND(DATA_EFORM_TYPE_CODE,DB_TBL_DATA_FIELDS[[#This Row],[APPLICABLE_EFORM_LIST]])&gt;0,DATA_EFORM_TYPE_CODE,""),"")</f>
        <v>AHEAD</v>
      </c>
      <c r="C96" s="4" t="s">
        <v>2513</v>
      </c>
      <c r="D96" s="4" t="b">
        <v>0</v>
      </c>
      <c r="E96" s="26" t="b">
        <v>1</v>
      </c>
      <c r="F96" s="6" t="s">
        <v>2514</v>
      </c>
      <c r="G96" s="30" t="str">
        <f ca="1">IF(OR(G83=TRUE,G84=TRUE,G85=TRUE,G86=TRUE,G87=TRUE,G88=TRUE,G89=TRUE,G90=TRUE,G91=TRUE,G92=TRUE,G93=TRUE,G94=TRUE,G95=TRUE),TRUE,"")</f>
        <v/>
      </c>
      <c r="H96" s="34"/>
      <c r="I96" s="6" t="b">
        <f ca="1">(DB_TBL_DATA_FIELDS[[#This Row],[FIELD_VALUE_RAW]]="")</f>
        <v>1</v>
      </c>
      <c r="J96" s="6" t="s">
        <v>168</v>
      </c>
      <c r="K96" s="8" t="b">
        <f>AND(IF(DB_TBL_DATA_FIELDS[[#This Row],[FIELD_VALID_CUSTOM_LOGIC]]="",TRUE,DB_TBL_DATA_FIELDS[[#This Row],[FIELD_VALID_CUSTOM_LOGIC]]),DB_TBL_DATA_FIELDS[[#This Row],[RANGE_VALIDATION_PASSED_FLAG]])</f>
        <v>1</v>
      </c>
      <c r="L96"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96" s="328">
        <f ca="1">IF(DB_TBL_DATA_FIELDS[[#This Row],[SHEET_REF_CALC]]="","",IF(DB_TBL_DATA_FIELDS[[#This Row],[FIELD_EMPTY_FLAG]],IF(NOT(DB_TBL_DATA_FIELDS[[#This Row],[FIELD_REQ_FLAG]]),-1,1),IF(NOT(DB_TBL_DATA_FIELDS[[#This Row],[FIELD_VALID_FLAG]]),0,2)))</f>
        <v>1</v>
      </c>
      <c r="N96" s="8" t="str">
        <f ca="1">IFERROR(VLOOKUP(DB_TBL_DATA_FIELDS[[#This Row],[FIELD_STATUS_CODE]],DB_TBL_CONFIG_FIELDSTATUSCODES[#All],3,FALSE),"")</f>
        <v>Required</v>
      </c>
      <c r="O96" s="8" t="str">
        <f ca="1">IFERROR(VLOOKUP(DB_TBL_DATA_FIELDS[[#This Row],[FIELD_STATUS_CODE]],DB_TBL_CONFIG_FIELDSTATUSCODES[#All],4,FALSE),"")</f>
        <v>i</v>
      </c>
      <c r="P96" s="8" t="b">
        <f>TRUE</f>
        <v>1</v>
      </c>
      <c r="Q96" s="8" t="b">
        <v>0</v>
      </c>
      <c r="R96" s="4"/>
      <c r="S96" s="8">
        <f ca="1">IF(DB_TBL_DATA_FIELDS[[#This Row],[RANGE_VALIDATION_FLAG]]="Text",LEN(DB_TBL_DATA_FIELDS[[#This Row],[FIELD_VALUE_RAW]]),IFERROR(VALUE(DB_TBL_DATA_FIELDS[[#This Row],[FIELD_VALUE_RAW]]),-1))</f>
        <v>-1</v>
      </c>
      <c r="T96" s="8"/>
      <c r="U96" s="8"/>
      <c r="V96" s="8" t="b">
        <f>IF(NOT(DB_TBL_DATA_FIELDS[[#This Row],[RANGE_VALIDATION_ON_FLAG]]),TRUE,
AND(DB_TBL_DATA_FIELDS[[#This Row],[RANGE_VALUE_LEN]]&gt;=DB_TBL_DATA_FIELDS[[#This Row],[RANGE_VALIDATION_MIN]],DB_TBL_DATA_FIELDS[[#This Row],[RANGE_VALUE_LEN]]&lt;=DB_TBL_DATA_FIELDS[[#This Row],[RANGE_VALIDATION_MAX]]))</f>
        <v>1</v>
      </c>
      <c r="W96" s="7">
        <v>1</v>
      </c>
      <c r="X96" s="7">
        <f ca="1">IF(DB_TBL_DATA_FIELDS[[#This Row],[PCT_CALC_SHOW_STATUS_CODE]]=1,
DB_TBL_DATA_FIELDS[[#This Row],[FIELD_STATUS_CODE]],
IF(AND(DB_TBL_DATA_FIELDS[[#This Row],[PCT_CALC_SHOW_STATUS_CODE]]=2,DB_TBL_DATA_FIELDS[[#This Row],[FIELD_STATUS_CODE]]=0),
DB_TBL_DATA_FIELDS[[#This Row],[FIELD_STATUS_CODE]],
"")
)</f>
        <v>1</v>
      </c>
      <c r="Y96" s="69"/>
      <c r="Z96" s="12" t="s">
        <v>2304</v>
      </c>
      <c r="AA96" s="12" t="s">
        <v>2460</v>
      </c>
      <c r="AB96" s="12"/>
      <c r="AC96" s="12"/>
      <c r="AD96" s="12"/>
      <c r="AE96" s="35"/>
    </row>
    <row r="97" spans="1:31" x14ac:dyDescent="0.3">
      <c r="A97" s="10" t="s">
        <v>2790</v>
      </c>
      <c r="B97" s="7" t="str">
        <f>IFERROR(IF(FIND(DATA_EFORM_TYPE_CODE,DB_TBL_DATA_FIELDS[[#This Row],[APPLICABLE_EFORM_LIST]])&gt;0,DATA_EFORM_TYPE_CODE,""),"")</f>
        <v>AHEAD</v>
      </c>
      <c r="C97" s="4" t="s">
        <v>2521</v>
      </c>
      <c r="D97" s="4" t="b">
        <v>1</v>
      </c>
      <c r="E97" s="42" t="b">
        <f ca="1">IF(TB_OTHER_ATRISK_FLG=TRUE,TRUE,FALSE)</f>
        <v>0</v>
      </c>
      <c r="F97" s="6" t="s">
        <v>2522</v>
      </c>
      <c r="G97" s="34" t="str">
        <f ca="1">IFERROR(VLOOKUP(DB_TBL_DATA_FIELDS[[#This Row],[FIELD_ID]],INDIRECT(DB_TBL_DATA_FIELDS[[#This Row],[SHEET_REF_CALC]]&amp;"!A:B"),2,FALSE),"")</f>
        <v/>
      </c>
      <c r="H97" s="30" t="str">
        <f ca="1">IF(DB_TBL_DATA_FIELDS[[#This Row],[FIELD_EMPTY_FLAG]],"",DB_TBL_DATA_FIELDS[[#This Row],[FIELD_REQ_FLAG]])</f>
        <v/>
      </c>
      <c r="I97" s="6" t="b">
        <f ca="1">(DB_TBL_DATA_FIELDS[[#This Row],[FIELD_VALUE_RAW]]="")</f>
        <v>1</v>
      </c>
      <c r="J97" s="6" t="s">
        <v>9</v>
      </c>
      <c r="K97" s="8" t="b">
        <f ca="1">AND(IF(DB_TBL_DATA_FIELDS[[#This Row],[FIELD_VALID_CUSTOM_LOGIC]]="",TRUE,DB_TBL_DATA_FIELDS[[#This Row],[FIELD_VALID_CUSTOM_LOGIC]]),DB_TBL_DATA_FIELDS[[#This Row],[RANGE_VALIDATION_PASSED_FLAG]])</f>
        <v>1</v>
      </c>
      <c r="L97"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97" s="328">
        <f ca="1">IF(DB_TBL_DATA_FIELDS[[#This Row],[SHEET_REF_CALC]]="","",IF(DB_TBL_DATA_FIELDS[[#This Row],[FIELD_EMPTY_FLAG]],IF(NOT(DB_TBL_DATA_FIELDS[[#This Row],[FIELD_REQ_FLAG]]),-1,1),IF(NOT(DB_TBL_DATA_FIELDS[[#This Row],[FIELD_VALID_FLAG]]),0,2)))</f>
        <v>-1</v>
      </c>
      <c r="N97" s="8" t="str">
        <f ca="1">IFERROR(VLOOKUP(DB_TBL_DATA_FIELDS[[#This Row],[FIELD_STATUS_CODE]],DB_TBL_CONFIG_FIELDSTATUSCODES[#All],3,FALSE),"")</f>
        <v>Optional</v>
      </c>
      <c r="O97" s="8" t="str">
        <f ca="1">IFERROR(VLOOKUP(DB_TBL_DATA_FIELDS[[#This Row],[FIELD_STATUS_CODE]],DB_TBL_CONFIG_FIELDSTATUSCODES[#All],4,FALSE),"")</f>
        <v xml:space="preserve"> </v>
      </c>
      <c r="P97" s="8" t="b">
        <f>TRUE</f>
        <v>1</v>
      </c>
      <c r="Q97" s="8" t="b">
        <v>1</v>
      </c>
      <c r="R97" s="4" t="s">
        <v>9</v>
      </c>
      <c r="S97" s="8">
        <f ca="1">IF(DB_TBL_DATA_FIELDS[[#This Row],[RANGE_VALIDATION_FLAG]]="Text",LEN(DB_TBL_DATA_FIELDS[[#This Row],[FIELD_VALUE_RAW]]),IFERROR(VALUE(DB_TBL_DATA_FIELDS[[#This Row],[FIELD_VALUE_RAW]]),-1))</f>
        <v>0</v>
      </c>
      <c r="T97" s="8">
        <v>0</v>
      </c>
      <c r="U97" s="8">
        <v>200</v>
      </c>
      <c r="V97" s="8" t="b">
        <f ca="1">IF(NOT(DB_TBL_DATA_FIELDS[[#This Row],[RANGE_VALIDATION_ON_FLAG]]),TRUE,
AND(DB_TBL_DATA_FIELDS[[#This Row],[RANGE_VALUE_LEN]]&gt;=DB_TBL_DATA_FIELDS[[#This Row],[RANGE_VALIDATION_MIN]],DB_TBL_DATA_FIELDS[[#This Row],[RANGE_VALUE_LEN]]&lt;=DB_TBL_DATA_FIELDS[[#This Row],[RANGE_VALIDATION_MAX]]))</f>
        <v>1</v>
      </c>
      <c r="W97" s="7">
        <v>1</v>
      </c>
      <c r="X97" s="7">
        <f ca="1">IF(DB_TBL_DATA_FIELDS[[#This Row],[PCT_CALC_SHOW_STATUS_CODE]]=1,
DB_TBL_DATA_FIELDS[[#This Row],[FIELD_STATUS_CODE]],
IF(AND(DB_TBL_DATA_FIELDS[[#This Row],[PCT_CALC_SHOW_STATUS_CODE]]=2,DB_TBL_DATA_FIELDS[[#This Row],[FIELD_STATUS_CODE]]=0),
DB_TBL_DATA_FIELDS[[#This Row],[FIELD_STATUS_CODE]],
"")
)</f>
        <v>-1</v>
      </c>
      <c r="Y97" s="69"/>
      <c r="Z97" s="12" t="s">
        <v>2305</v>
      </c>
      <c r="AA97" s="12" t="s">
        <v>2460</v>
      </c>
      <c r="AB97" s="12" t="s">
        <v>2521</v>
      </c>
      <c r="AC97" s="12" t="s">
        <v>2661</v>
      </c>
      <c r="AD97" s="12"/>
      <c r="AE97" s="35"/>
    </row>
    <row r="98" spans="1:31" x14ac:dyDescent="0.3">
      <c r="A98" s="10" t="s">
        <v>2790</v>
      </c>
      <c r="B98" s="7" t="str">
        <f>IFERROR(IF(FIND(DATA_EFORM_TYPE_CODE,DB_TBL_DATA_FIELDS[[#This Row],[APPLICABLE_EFORM_LIST]])&gt;0,DATA_EFORM_TYPE_CODE,""),"")</f>
        <v>AHEAD</v>
      </c>
      <c r="C98" s="4" t="s">
        <v>2530</v>
      </c>
      <c r="D98" s="4" t="b">
        <v>0</v>
      </c>
      <c r="E98" s="26" t="b">
        <v>1</v>
      </c>
      <c r="F98" s="6" t="s">
        <v>2532</v>
      </c>
      <c r="G98" s="34" t="str">
        <f ca="1">IFERROR(VLOOKUP(DB_TBL_DATA_FIELDS[[#This Row],[FIELD_ID]],INDIRECT(DB_TBL_DATA_FIELDS[[#This Row],[SHEET_REF_CALC]]&amp;"!A:B"),2,FALSE),"")</f>
        <v/>
      </c>
      <c r="H98" s="34"/>
      <c r="I98" s="6" t="b">
        <f ca="1">(DB_TBL_DATA_FIELDS[[#This Row],[FIELD_VALUE_RAW]]="")</f>
        <v>1</v>
      </c>
      <c r="J98" s="6" t="s">
        <v>9</v>
      </c>
      <c r="K98" s="8" t="b">
        <f ca="1">AND(IF(DB_TBL_DATA_FIELDS[[#This Row],[FIELD_VALID_CUSTOM_LOGIC]]="",TRUE,DB_TBL_DATA_FIELDS[[#This Row],[FIELD_VALID_CUSTOM_LOGIC]]),DB_TBL_DATA_FIELDS[[#This Row],[RANGE_VALIDATION_PASSED_FLAG]])</f>
        <v>1</v>
      </c>
      <c r="L98"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98" s="328">
        <f ca="1">IF(DB_TBL_DATA_FIELDS[[#This Row],[SHEET_REF_CALC]]="","",IF(DB_TBL_DATA_FIELDS[[#This Row],[FIELD_EMPTY_FLAG]],IF(NOT(DB_TBL_DATA_FIELDS[[#This Row],[FIELD_REQ_FLAG]]),-1,1),IF(NOT(DB_TBL_DATA_FIELDS[[#This Row],[FIELD_VALID_FLAG]]),0,2)))</f>
        <v>1</v>
      </c>
      <c r="N98" s="8" t="str">
        <f ca="1">IFERROR(VLOOKUP(DB_TBL_DATA_FIELDS[[#This Row],[FIELD_STATUS_CODE]],DB_TBL_CONFIG_FIELDSTATUSCODES[#All],3,FALSE),"")</f>
        <v>Required</v>
      </c>
      <c r="O98" s="8" t="str">
        <f ca="1">IFERROR(VLOOKUP(DB_TBL_DATA_FIELDS[[#This Row],[FIELD_STATUS_CODE]],DB_TBL_CONFIG_FIELDSTATUSCODES[#All],4,FALSE),"")</f>
        <v>i</v>
      </c>
      <c r="P98" s="8" t="b">
        <f>TRUE</f>
        <v>1</v>
      </c>
      <c r="Q98" s="8" t="b">
        <v>1</v>
      </c>
      <c r="R98" s="4" t="s">
        <v>9</v>
      </c>
      <c r="S98" s="8">
        <f ca="1">IF(DB_TBL_DATA_FIELDS[[#This Row],[RANGE_VALIDATION_FLAG]]="Text",LEN(DB_TBL_DATA_FIELDS[[#This Row],[FIELD_VALUE_RAW]]),IFERROR(VALUE(DB_TBL_DATA_FIELDS[[#This Row],[FIELD_VALUE_RAW]]),-1))</f>
        <v>0</v>
      </c>
      <c r="T98" s="8">
        <v>0</v>
      </c>
      <c r="U98" s="8">
        <v>50</v>
      </c>
      <c r="V98" s="8" t="b">
        <f ca="1">IF(NOT(DB_TBL_DATA_FIELDS[[#This Row],[RANGE_VALIDATION_ON_FLAG]]),TRUE,
AND(DB_TBL_DATA_FIELDS[[#This Row],[RANGE_VALUE_LEN]]&gt;=DB_TBL_DATA_FIELDS[[#This Row],[RANGE_VALIDATION_MIN]],DB_TBL_DATA_FIELDS[[#This Row],[RANGE_VALUE_LEN]]&lt;=DB_TBL_DATA_FIELDS[[#This Row],[RANGE_VALIDATION_MAX]]))</f>
        <v>1</v>
      </c>
      <c r="W98" s="7">
        <v>1</v>
      </c>
      <c r="X98" s="7">
        <f ca="1">IF(DB_TBL_DATA_FIELDS[[#This Row],[PCT_CALC_SHOW_STATUS_CODE]]=1,
DB_TBL_DATA_FIELDS[[#This Row],[FIELD_STATUS_CODE]],
IF(AND(DB_TBL_DATA_FIELDS[[#This Row],[PCT_CALC_SHOW_STATUS_CODE]]=2,DB_TBL_DATA_FIELDS[[#This Row],[FIELD_STATUS_CODE]]=0),
DB_TBL_DATA_FIELDS[[#This Row],[FIELD_STATUS_CODE]],
"")
)</f>
        <v>1</v>
      </c>
      <c r="Y98" s="69"/>
      <c r="Z98" s="12" t="s">
        <v>2306</v>
      </c>
      <c r="AA98" s="12" t="s">
        <v>2460</v>
      </c>
      <c r="AB98" s="12"/>
      <c r="AC98" s="12"/>
      <c r="AD98" s="12"/>
      <c r="AE98" s="35"/>
    </row>
    <row r="99" spans="1:31" x14ac:dyDescent="0.3">
      <c r="A99" s="10" t="s">
        <v>2790</v>
      </c>
      <c r="B99" s="7" t="str">
        <f>IFERROR(IF(FIND(DATA_EFORM_TYPE_CODE,DB_TBL_DATA_FIELDS[[#This Row],[APPLICABLE_EFORM_LIST]])&gt;0,DATA_EFORM_TYPE_CODE,""),"")</f>
        <v>AHEAD</v>
      </c>
      <c r="C99" s="33" t="s">
        <v>2531</v>
      </c>
      <c r="D99" s="4" t="b">
        <v>1</v>
      </c>
      <c r="E99" s="26" t="b">
        <v>0</v>
      </c>
      <c r="F99" s="6" t="s">
        <v>2533</v>
      </c>
      <c r="G99" s="30" t="str">
        <f ca="1">IF(I98,"",IFERROR(INDEX(RANGE_LOOKUP_TSA_CODES,MATCH(TSA_SELECTION,RANGE_LOOKUP_TSA,0)),""))</f>
        <v/>
      </c>
      <c r="H99" s="30" t="str">
        <f ca="1">IF(I98,"",IFERROR(MATCH(TSA_SELECTION,RANGE_LOOKUP_TSA,0),-1)&gt;0)</f>
        <v/>
      </c>
      <c r="I99" s="6" t="b">
        <f ca="1">(DB_TBL_DATA_FIELDS[[#This Row],[FIELD_VALUE_RAW]]="")</f>
        <v>1</v>
      </c>
      <c r="J99" s="6" t="s">
        <v>9</v>
      </c>
      <c r="K99" s="8" t="b">
        <f ca="1">AND(IF(DB_TBL_DATA_FIELDS[[#This Row],[FIELD_VALID_CUSTOM_LOGIC]]="",TRUE,DB_TBL_DATA_FIELDS[[#This Row],[FIELD_VALID_CUSTOM_LOGIC]]),DB_TBL_DATA_FIELDS[[#This Row],[RANGE_VALIDATION_PASSED_FLAG]])</f>
        <v>1</v>
      </c>
      <c r="L99"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99" s="328">
        <f ca="1">IF(DB_TBL_DATA_FIELDS[[#This Row],[SHEET_REF_CALC]]="","",IF(DB_TBL_DATA_FIELDS[[#This Row],[FIELD_EMPTY_FLAG]],IF(NOT(DB_TBL_DATA_FIELDS[[#This Row],[FIELD_REQ_FLAG]]),-1,1),IF(NOT(DB_TBL_DATA_FIELDS[[#This Row],[FIELD_VALID_FLAG]]),0,2)))</f>
        <v>-1</v>
      </c>
      <c r="N99" s="8" t="str">
        <f ca="1">IFERROR(VLOOKUP(DB_TBL_DATA_FIELDS[[#This Row],[FIELD_STATUS_CODE]],DB_TBL_CONFIG_FIELDSTATUSCODES[#All],3,FALSE),"")</f>
        <v>Optional</v>
      </c>
      <c r="O99" s="8" t="str">
        <f ca="1">IFERROR(VLOOKUP(DB_TBL_DATA_FIELDS[[#This Row],[FIELD_STATUS_CODE]],DB_TBL_CONFIG_FIELDSTATUSCODES[#All],4,FALSE),"")</f>
        <v xml:space="preserve"> </v>
      </c>
      <c r="P99" s="8" t="b">
        <f>TRUE</f>
        <v>1</v>
      </c>
      <c r="Q99" s="8" t="b">
        <v>1</v>
      </c>
      <c r="R99" s="4" t="s">
        <v>9</v>
      </c>
      <c r="S99" s="8">
        <f ca="1">IF(DB_TBL_DATA_FIELDS[[#This Row],[RANGE_VALIDATION_FLAG]]="Text",LEN(DB_TBL_DATA_FIELDS[[#This Row],[FIELD_VALUE_RAW]]),IFERROR(VALUE(DB_TBL_DATA_FIELDS[[#This Row],[FIELD_VALUE_RAW]]),-1))</f>
        <v>0</v>
      </c>
      <c r="T99" s="8">
        <v>0</v>
      </c>
      <c r="U99" s="8">
        <v>1</v>
      </c>
      <c r="V99" s="8" t="b">
        <f ca="1">IF(NOT(DB_TBL_DATA_FIELDS[[#This Row],[RANGE_VALIDATION_ON_FLAG]]),TRUE,
AND(DB_TBL_DATA_FIELDS[[#This Row],[RANGE_VALUE_LEN]]&gt;=DB_TBL_DATA_FIELDS[[#This Row],[RANGE_VALIDATION_MIN]],DB_TBL_DATA_FIELDS[[#This Row],[RANGE_VALUE_LEN]]&lt;=DB_TBL_DATA_FIELDS[[#This Row],[RANGE_VALIDATION_MAX]]))</f>
        <v>1</v>
      </c>
      <c r="W99" s="7">
        <v>1</v>
      </c>
      <c r="X99" s="7">
        <f ca="1">IF(DB_TBL_DATA_FIELDS[[#This Row],[PCT_CALC_SHOW_STATUS_CODE]]=1,
DB_TBL_DATA_FIELDS[[#This Row],[FIELD_STATUS_CODE]],
IF(AND(DB_TBL_DATA_FIELDS[[#This Row],[PCT_CALC_SHOW_STATUS_CODE]]=2,DB_TBL_DATA_FIELDS[[#This Row],[FIELD_STATUS_CODE]]=0),
DB_TBL_DATA_FIELDS[[#This Row],[FIELD_STATUS_CODE]],
"")
)</f>
        <v>-1</v>
      </c>
      <c r="Y99" s="69"/>
      <c r="Z99" s="12" t="s">
        <v>2306</v>
      </c>
      <c r="AA99" s="12" t="s">
        <v>2460</v>
      </c>
      <c r="AB99" s="12" t="s">
        <v>2531</v>
      </c>
      <c r="AC99" s="12" t="s">
        <v>2656</v>
      </c>
      <c r="AD99" s="12"/>
      <c r="AE99" s="35"/>
    </row>
    <row r="100" spans="1:31" x14ac:dyDescent="0.3">
      <c r="A100" s="10" t="s">
        <v>2790</v>
      </c>
      <c r="B100" s="7" t="str">
        <f>IFERROR(IF(FIND(DATA_EFORM_TYPE_CODE,DB_TBL_DATA_FIELDS[[#This Row],[APPLICABLE_EFORM_LIST]])&gt;0,DATA_EFORM_TYPE_CODE,""),"")</f>
        <v>AHEAD</v>
      </c>
      <c r="C100" s="4" t="s">
        <v>2534</v>
      </c>
      <c r="D100" s="4" t="b">
        <v>1</v>
      </c>
      <c r="E100" s="42" t="b">
        <f ca="1">IF(TSA_FLG=TSA_OTHER,TRUE,FALSE)</f>
        <v>0</v>
      </c>
      <c r="F100" s="6" t="s">
        <v>2538</v>
      </c>
      <c r="G100" s="34" t="str">
        <f ca="1">IFERROR(VLOOKUP(DB_TBL_DATA_FIELDS[[#This Row],[FIELD_ID]],INDIRECT(DB_TBL_DATA_FIELDS[[#This Row],[SHEET_REF_CALC]]&amp;"!A:B"),2,FALSE),"")</f>
        <v/>
      </c>
      <c r="H100" s="30" t="str">
        <f ca="1">IF(DB_TBL_DATA_FIELDS[[#This Row],[FIELD_EMPTY_FLAG]],"",DB_TBL_DATA_FIELDS[[#This Row],[FIELD_REQ_FLAG]])</f>
        <v/>
      </c>
      <c r="I100" s="6" t="b">
        <f ca="1">(DB_TBL_DATA_FIELDS[[#This Row],[FIELD_VALUE_RAW]]="")</f>
        <v>1</v>
      </c>
      <c r="J100" s="6" t="s">
        <v>9</v>
      </c>
      <c r="K100" s="8" t="b">
        <f ca="1">AND(IF(DB_TBL_DATA_FIELDS[[#This Row],[FIELD_VALID_CUSTOM_LOGIC]]="",TRUE,DB_TBL_DATA_FIELDS[[#This Row],[FIELD_VALID_CUSTOM_LOGIC]]),DB_TBL_DATA_FIELDS[[#This Row],[RANGE_VALIDATION_PASSED_FLAG]])</f>
        <v>1</v>
      </c>
      <c r="L100"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00" s="328">
        <f ca="1">IF(DB_TBL_DATA_FIELDS[[#This Row],[SHEET_REF_CALC]]="","",IF(DB_TBL_DATA_FIELDS[[#This Row],[FIELD_EMPTY_FLAG]],IF(NOT(DB_TBL_DATA_FIELDS[[#This Row],[FIELD_REQ_FLAG]]),-1,1),IF(NOT(DB_TBL_DATA_FIELDS[[#This Row],[FIELD_VALID_FLAG]]),0,2)))</f>
        <v>-1</v>
      </c>
      <c r="N100" s="8" t="str">
        <f ca="1">IFERROR(VLOOKUP(DB_TBL_DATA_FIELDS[[#This Row],[FIELD_STATUS_CODE]],DB_TBL_CONFIG_FIELDSTATUSCODES[#All],3,FALSE),"")</f>
        <v>Optional</v>
      </c>
      <c r="O100" s="8" t="str">
        <f ca="1">IFERROR(VLOOKUP(DB_TBL_DATA_FIELDS[[#This Row],[FIELD_STATUS_CODE]],DB_TBL_CONFIG_FIELDSTATUSCODES[#All],4,FALSE),"")</f>
        <v xml:space="preserve"> </v>
      </c>
      <c r="P100" s="8" t="b">
        <f>TRUE</f>
        <v>1</v>
      </c>
      <c r="Q100" s="8" t="b">
        <v>1</v>
      </c>
      <c r="R100" s="4" t="s">
        <v>9</v>
      </c>
      <c r="S100" s="8">
        <f ca="1">IF(DB_TBL_DATA_FIELDS[[#This Row],[RANGE_VALIDATION_FLAG]]="Text",LEN(DB_TBL_DATA_FIELDS[[#This Row],[FIELD_VALUE_RAW]]),IFERROR(VALUE(DB_TBL_DATA_FIELDS[[#This Row],[FIELD_VALUE_RAW]]),-1))</f>
        <v>0</v>
      </c>
      <c r="T100" s="8">
        <v>0</v>
      </c>
      <c r="U100" s="8">
        <v>200</v>
      </c>
      <c r="V100" s="8" t="b">
        <f ca="1">IF(NOT(DB_TBL_DATA_FIELDS[[#This Row],[RANGE_VALIDATION_ON_FLAG]]),TRUE,
AND(DB_TBL_DATA_FIELDS[[#This Row],[RANGE_VALUE_LEN]]&gt;=DB_TBL_DATA_FIELDS[[#This Row],[RANGE_VALIDATION_MIN]],DB_TBL_DATA_FIELDS[[#This Row],[RANGE_VALUE_LEN]]&lt;=DB_TBL_DATA_FIELDS[[#This Row],[RANGE_VALIDATION_MAX]]))</f>
        <v>1</v>
      </c>
      <c r="W100" s="7">
        <v>1</v>
      </c>
      <c r="X100" s="7">
        <f ca="1">IF(DB_TBL_DATA_FIELDS[[#This Row],[PCT_CALC_SHOW_STATUS_CODE]]=1,
DB_TBL_DATA_FIELDS[[#This Row],[FIELD_STATUS_CODE]],
IF(AND(DB_TBL_DATA_FIELDS[[#This Row],[PCT_CALC_SHOW_STATUS_CODE]]=2,DB_TBL_DATA_FIELDS[[#This Row],[FIELD_STATUS_CODE]]=0),
DB_TBL_DATA_FIELDS[[#This Row],[FIELD_STATUS_CODE]],
"")
)</f>
        <v>-1</v>
      </c>
      <c r="Y100" s="69"/>
      <c r="Z100" s="12" t="s">
        <v>2307</v>
      </c>
      <c r="AA100" s="12" t="s">
        <v>2460</v>
      </c>
      <c r="AB100" s="12" t="s">
        <v>2534</v>
      </c>
      <c r="AC100" s="12" t="s">
        <v>2661</v>
      </c>
      <c r="AD100" s="12"/>
      <c r="AE100" s="35"/>
    </row>
    <row r="101" spans="1:31" x14ac:dyDescent="0.3">
      <c r="A101" s="323"/>
      <c r="B101" s="202" t="str">
        <f>IFERROR(IF(FIND(DATA_EFORM_TYPE_CODE,DB_TBL_DATA_FIELDS[[#This Row],[APPLICABLE_EFORM_LIST]])&gt;0,DATA_EFORM_TYPE_CODE,""),"")</f>
        <v/>
      </c>
      <c r="C101" s="203" t="s">
        <v>2535</v>
      </c>
      <c r="D101" s="203" t="b">
        <v>1</v>
      </c>
      <c r="E101" s="204" t="b">
        <v>0</v>
      </c>
      <c r="F101" s="205" t="s">
        <v>2550</v>
      </c>
      <c r="G101" s="206" t="str">
        <f ca="1">IFERROR(VLOOKUP(DB_TBL_DATA_FIELDS[[#This Row],[FIELD_ID]],INDIRECT(DB_TBL_DATA_FIELDS[[#This Row],[SHEET_REF_CALC]]&amp;"!A:B"),2,FALSE),"")</f>
        <v/>
      </c>
      <c r="H101" s="206"/>
      <c r="I101" s="205" t="b">
        <f ca="1">(DB_TBL_DATA_FIELDS[[#This Row],[FIELD_VALUE_RAW]]="")</f>
        <v>1</v>
      </c>
      <c r="J101" s="205" t="s">
        <v>168</v>
      </c>
      <c r="K101" s="207" t="b">
        <f>AND(IF(DB_TBL_DATA_FIELDS[[#This Row],[FIELD_VALID_CUSTOM_LOGIC]]="",TRUE,DB_TBL_DATA_FIELDS[[#This Row],[FIELD_VALID_CUSTOM_LOGIC]]),DB_TBL_DATA_FIELDS[[#This Row],[RANGE_VALIDATION_PASSED_FLAG]])</f>
        <v>1</v>
      </c>
      <c r="L101" s="206"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01" s="332" t="str">
        <f>IF(DB_TBL_DATA_FIELDS[[#This Row],[SHEET_REF_CALC]]="","",IF(DB_TBL_DATA_FIELDS[[#This Row],[FIELD_EMPTY_FLAG]],IF(NOT(DB_TBL_DATA_FIELDS[[#This Row],[FIELD_REQ_FLAG]]),-1,1),IF(NOT(DB_TBL_DATA_FIELDS[[#This Row],[FIELD_VALID_FLAG]]),0,2)))</f>
        <v/>
      </c>
      <c r="N101" s="207" t="str">
        <f>IFERROR(VLOOKUP(DB_TBL_DATA_FIELDS[[#This Row],[FIELD_STATUS_CODE]],DB_TBL_CONFIG_FIELDSTATUSCODES[#All],3,FALSE),"")</f>
        <v/>
      </c>
      <c r="O101" s="207" t="str">
        <f>IFERROR(VLOOKUP(DB_TBL_DATA_FIELDS[[#This Row],[FIELD_STATUS_CODE]],DB_TBL_CONFIG_FIELDSTATUSCODES[#All],4,FALSE),"")</f>
        <v/>
      </c>
      <c r="P101" s="207" t="b">
        <f>TRUE</f>
        <v>1</v>
      </c>
      <c r="Q101" s="207" t="b">
        <v>0</v>
      </c>
      <c r="R101" s="203"/>
      <c r="S101" s="207">
        <f ca="1">IF(DB_TBL_DATA_FIELDS[[#This Row],[RANGE_VALIDATION_FLAG]]="Text",LEN(DB_TBL_DATA_FIELDS[[#This Row],[FIELD_VALUE_RAW]]),IFERROR(VALUE(DB_TBL_DATA_FIELDS[[#This Row],[FIELD_VALUE_RAW]]),-1))</f>
        <v>-1</v>
      </c>
      <c r="T101" s="207"/>
      <c r="U101" s="207"/>
      <c r="V101" s="207" t="b">
        <f>IF(NOT(DB_TBL_DATA_FIELDS[[#This Row],[RANGE_VALIDATION_ON_FLAG]]),TRUE,
AND(DB_TBL_DATA_FIELDS[[#This Row],[RANGE_VALUE_LEN]]&gt;=DB_TBL_DATA_FIELDS[[#This Row],[RANGE_VALIDATION_MIN]],DB_TBL_DATA_FIELDS[[#This Row],[RANGE_VALUE_LEN]]&lt;=DB_TBL_DATA_FIELDS[[#This Row],[RANGE_VALIDATION_MAX]]))</f>
        <v>1</v>
      </c>
      <c r="W101" s="202">
        <v>0</v>
      </c>
      <c r="X101" s="202" t="str">
        <f>IF(DB_TBL_DATA_FIELDS[[#This Row],[PCT_CALC_SHOW_STATUS_CODE]]=1,
DB_TBL_DATA_FIELDS[[#This Row],[FIELD_STATUS_CODE]],
IF(AND(DB_TBL_DATA_FIELDS[[#This Row],[PCT_CALC_SHOW_STATUS_CODE]]=2,DB_TBL_DATA_FIELDS[[#This Row],[FIELD_STATUS_CODE]]=0),
DB_TBL_DATA_FIELDS[[#This Row],[FIELD_STATUS_CODE]],
"")
)</f>
        <v/>
      </c>
      <c r="Y101" s="202"/>
      <c r="Z101" s="206" t="s">
        <v>2308</v>
      </c>
      <c r="AA101" s="206" t="s">
        <v>2460</v>
      </c>
      <c r="AB101" s="206" t="s">
        <v>2535</v>
      </c>
      <c r="AC101" s="206" t="s">
        <v>2656</v>
      </c>
      <c r="AD101" s="206"/>
      <c r="AE101" s="207"/>
    </row>
    <row r="102" spans="1:31" x14ac:dyDescent="0.3">
      <c r="A102" s="323"/>
      <c r="B102" s="202" t="str">
        <f>IFERROR(IF(FIND(DATA_EFORM_TYPE_CODE,DB_TBL_DATA_FIELDS[[#This Row],[APPLICABLE_EFORM_LIST]])&gt;0,DATA_EFORM_TYPE_CODE,""),"")</f>
        <v/>
      </c>
      <c r="C102" s="203" t="s">
        <v>2536</v>
      </c>
      <c r="D102" s="203" t="b">
        <v>1</v>
      </c>
      <c r="E102" s="204" t="b">
        <v>0</v>
      </c>
      <c r="F102" s="205" t="s">
        <v>2549</v>
      </c>
      <c r="G102" s="206" t="str">
        <f ca="1">IFERROR(VLOOKUP(DB_TBL_DATA_FIELDS[[#This Row],[FIELD_ID]],INDIRECT(DB_TBL_DATA_FIELDS[[#This Row],[SHEET_REF_CALC]]&amp;"!A:B"),2,FALSE),"")</f>
        <v/>
      </c>
      <c r="H102" s="206"/>
      <c r="I102" s="205" t="b">
        <f ca="1">(DB_TBL_DATA_FIELDS[[#This Row],[FIELD_VALUE_RAW]]="")</f>
        <v>1</v>
      </c>
      <c r="J102" s="205" t="s">
        <v>168</v>
      </c>
      <c r="K102" s="207" t="b">
        <f>AND(IF(DB_TBL_DATA_FIELDS[[#This Row],[FIELD_VALID_CUSTOM_LOGIC]]="",TRUE,DB_TBL_DATA_FIELDS[[#This Row],[FIELD_VALID_CUSTOM_LOGIC]]),DB_TBL_DATA_FIELDS[[#This Row],[RANGE_VALIDATION_PASSED_FLAG]])</f>
        <v>1</v>
      </c>
      <c r="L102" s="206"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02" s="332" t="str">
        <f>IF(DB_TBL_DATA_FIELDS[[#This Row],[SHEET_REF_CALC]]="","",IF(DB_TBL_DATA_FIELDS[[#This Row],[FIELD_EMPTY_FLAG]],IF(NOT(DB_TBL_DATA_FIELDS[[#This Row],[FIELD_REQ_FLAG]]),-1,1),IF(NOT(DB_TBL_DATA_FIELDS[[#This Row],[FIELD_VALID_FLAG]]),0,2)))</f>
        <v/>
      </c>
      <c r="N102" s="207" t="str">
        <f>IFERROR(VLOOKUP(DB_TBL_DATA_FIELDS[[#This Row],[FIELD_STATUS_CODE]],DB_TBL_CONFIG_FIELDSTATUSCODES[#All],3,FALSE),"")</f>
        <v/>
      </c>
      <c r="O102" s="207" t="str">
        <f>IFERROR(VLOOKUP(DB_TBL_DATA_FIELDS[[#This Row],[FIELD_STATUS_CODE]],DB_TBL_CONFIG_FIELDSTATUSCODES[#All],4,FALSE),"")</f>
        <v/>
      </c>
      <c r="P102" s="207" t="b">
        <f>TRUE</f>
        <v>1</v>
      </c>
      <c r="Q102" s="207" t="b">
        <v>0</v>
      </c>
      <c r="R102" s="203"/>
      <c r="S102" s="207">
        <f ca="1">IF(DB_TBL_DATA_FIELDS[[#This Row],[RANGE_VALIDATION_FLAG]]="Text",LEN(DB_TBL_DATA_FIELDS[[#This Row],[FIELD_VALUE_RAW]]),IFERROR(VALUE(DB_TBL_DATA_FIELDS[[#This Row],[FIELD_VALUE_RAW]]),-1))</f>
        <v>-1</v>
      </c>
      <c r="T102" s="207"/>
      <c r="U102" s="207"/>
      <c r="V102" s="207" t="b">
        <f>IF(NOT(DB_TBL_DATA_FIELDS[[#This Row],[RANGE_VALIDATION_ON_FLAG]]),TRUE,
AND(DB_TBL_DATA_FIELDS[[#This Row],[RANGE_VALUE_LEN]]&gt;=DB_TBL_DATA_FIELDS[[#This Row],[RANGE_VALIDATION_MIN]],DB_TBL_DATA_FIELDS[[#This Row],[RANGE_VALUE_LEN]]&lt;=DB_TBL_DATA_FIELDS[[#This Row],[RANGE_VALIDATION_MAX]]))</f>
        <v>1</v>
      </c>
      <c r="W102" s="202">
        <v>0</v>
      </c>
      <c r="X102" s="202" t="str">
        <f>IF(DB_TBL_DATA_FIELDS[[#This Row],[PCT_CALC_SHOW_STATUS_CODE]]=1,
DB_TBL_DATA_FIELDS[[#This Row],[FIELD_STATUS_CODE]],
IF(AND(DB_TBL_DATA_FIELDS[[#This Row],[PCT_CALC_SHOW_STATUS_CODE]]=2,DB_TBL_DATA_FIELDS[[#This Row],[FIELD_STATUS_CODE]]=0),
DB_TBL_DATA_FIELDS[[#This Row],[FIELD_STATUS_CODE]],
"")
)</f>
        <v/>
      </c>
      <c r="Y102" s="202"/>
      <c r="Z102" s="206" t="s">
        <v>2308</v>
      </c>
      <c r="AA102" s="206" t="s">
        <v>2460</v>
      </c>
      <c r="AB102" s="206" t="s">
        <v>2536</v>
      </c>
      <c r="AC102" s="206" t="s">
        <v>2656</v>
      </c>
      <c r="AD102" s="206"/>
      <c r="AE102" s="207"/>
    </row>
    <row r="103" spans="1:31" x14ac:dyDescent="0.3">
      <c r="A103" s="323"/>
      <c r="B103" s="202" t="str">
        <f>IFERROR(IF(FIND(DATA_EFORM_TYPE_CODE,DB_TBL_DATA_FIELDS[[#This Row],[APPLICABLE_EFORM_LIST]])&gt;0,DATA_EFORM_TYPE_CODE,""),"")</f>
        <v/>
      </c>
      <c r="C103" s="203" t="s">
        <v>2537</v>
      </c>
      <c r="D103" s="203" t="b">
        <v>1</v>
      </c>
      <c r="E103" s="204" t="b">
        <v>0</v>
      </c>
      <c r="F103" s="205" t="s">
        <v>2548</v>
      </c>
      <c r="G103" s="206" t="str">
        <f ca="1">IFERROR(VLOOKUP(DB_TBL_DATA_FIELDS[[#This Row],[FIELD_ID]],INDIRECT(DB_TBL_DATA_FIELDS[[#This Row],[SHEET_REF_CALC]]&amp;"!A:B"),2,FALSE),"")</f>
        <v/>
      </c>
      <c r="H103" s="206"/>
      <c r="I103" s="205" t="b">
        <f ca="1">(DB_TBL_DATA_FIELDS[[#This Row],[FIELD_VALUE_RAW]]="")</f>
        <v>1</v>
      </c>
      <c r="J103" s="205" t="s">
        <v>168</v>
      </c>
      <c r="K103" s="207" t="b">
        <f>AND(IF(DB_TBL_DATA_FIELDS[[#This Row],[FIELD_VALID_CUSTOM_LOGIC]]="",TRUE,DB_TBL_DATA_FIELDS[[#This Row],[FIELD_VALID_CUSTOM_LOGIC]]),DB_TBL_DATA_FIELDS[[#This Row],[RANGE_VALIDATION_PASSED_FLAG]])</f>
        <v>1</v>
      </c>
      <c r="L103" s="206"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03" s="332" t="str">
        <f>IF(DB_TBL_DATA_FIELDS[[#This Row],[SHEET_REF_CALC]]="","",IF(DB_TBL_DATA_FIELDS[[#This Row],[FIELD_EMPTY_FLAG]],IF(NOT(DB_TBL_DATA_FIELDS[[#This Row],[FIELD_REQ_FLAG]]),-1,1),IF(NOT(DB_TBL_DATA_FIELDS[[#This Row],[FIELD_VALID_FLAG]]),0,2)))</f>
        <v/>
      </c>
      <c r="N103" s="207" t="str">
        <f>IFERROR(VLOOKUP(DB_TBL_DATA_FIELDS[[#This Row],[FIELD_STATUS_CODE]],DB_TBL_CONFIG_FIELDSTATUSCODES[#All],3,FALSE),"")</f>
        <v/>
      </c>
      <c r="O103" s="207" t="str">
        <f>IFERROR(VLOOKUP(DB_TBL_DATA_FIELDS[[#This Row],[FIELD_STATUS_CODE]],DB_TBL_CONFIG_FIELDSTATUSCODES[#All],4,FALSE),"")</f>
        <v/>
      </c>
      <c r="P103" s="207" t="b">
        <f>TRUE</f>
        <v>1</v>
      </c>
      <c r="Q103" s="207" t="b">
        <v>0</v>
      </c>
      <c r="R103" s="203"/>
      <c r="S103" s="207">
        <f ca="1">IF(DB_TBL_DATA_FIELDS[[#This Row],[RANGE_VALIDATION_FLAG]]="Text",LEN(DB_TBL_DATA_FIELDS[[#This Row],[FIELD_VALUE_RAW]]),IFERROR(VALUE(DB_TBL_DATA_FIELDS[[#This Row],[FIELD_VALUE_RAW]]),-1))</f>
        <v>-1</v>
      </c>
      <c r="T103" s="207"/>
      <c r="U103" s="207"/>
      <c r="V103" s="207" t="b">
        <f>IF(NOT(DB_TBL_DATA_FIELDS[[#This Row],[RANGE_VALIDATION_ON_FLAG]]),TRUE,
AND(DB_TBL_DATA_FIELDS[[#This Row],[RANGE_VALUE_LEN]]&gt;=DB_TBL_DATA_FIELDS[[#This Row],[RANGE_VALIDATION_MIN]],DB_TBL_DATA_FIELDS[[#This Row],[RANGE_VALUE_LEN]]&lt;=DB_TBL_DATA_FIELDS[[#This Row],[RANGE_VALIDATION_MAX]]))</f>
        <v>1</v>
      </c>
      <c r="W103" s="202">
        <v>0</v>
      </c>
      <c r="X103" s="202" t="str">
        <f>IF(DB_TBL_DATA_FIELDS[[#This Row],[PCT_CALC_SHOW_STATUS_CODE]]=1,
DB_TBL_DATA_FIELDS[[#This Row],[FIELD_STATUS_CODE]],
IF(AND(DB_TBL_DATA_FIELDS[[#This Row],[PCT_CALC_SHOW_STATUS_CODE]]=2,DB_TBL_DATA_FIELDS[[#This Row],[FIELD_STATUS_CODE]]=0),
DB_TBL_DATA_FIELDS[[#This Row],[FIELD_STATUS_CODE]],
"")
)</f>
        <v/>
      </c>
      <c r="Y103" s="202"/>
      <c r="Z103" s="206" t="s">
        <v>2308</v>
      </c>
      <c r="AA103" s="206" t="s">
        <v>2460</v>
      </c>
      <c r="AB103" s="206" t="s">
        <v>2537</v>
      </c>
      <c r="AC103" s="206" t="s">
        <v>2656</v>
      </c>
      <c r="AD103" s="206"/>
      <c r="AE103" s="207"/>
    </row>
    <row r="104" spans="1:31" x14ac:dyDescent="0.3">
      <c r="A104" s="323"/>
      <c r="B104" s="202" t="str">
        <f>IFERROR(IF(FIND(DATA_EFORM_TYPE_CODE,DB_TBL_DATA_FIELDS[[#This Row],[APPLICABLE_EFORM_LIST]])&gt;0,DATA_EFORM_TYPE_CODE,""),"")</f>
        <v/>
      </c>
      <c r="C104" s="203" t="s">
        <v>2540</v>
      </c>
      <c r="D104" s="203" t="b">
        <v>1</v>
      </c>
      <c r="E104" s="204" t="b">
        <v>0</v>
      </c>
      <c r="F104" s="205" t="s">
        <v>2547</v>
      </c>
      <c r="G104" s="206" t="str">
        <f ca="1">IFERROR(VLOOKUP(DB_TBL_DATA_FIELDS[[#This Row],[FIELD_ID]],INDIRECT(DB_TBL_DATA_FIELDS[[#This Row],[SHEET_REF_CALC]]&amp;"!A:B"),2,FALSE),"")</f>
        <v/>
      </c>
      <c r="H104" s="206"/>
      <c r="I104" s="205" t="b">
        <f ca="1">(DB_TBL_DATA_FIELDS[[#This Row],[FIELD_VALUE_RAW]]="")</f>
        <v>1</v>
      </c>
      <c r="J104" s="205" t="s">
        <v>168</v>
      </c>
      <c r="K104" s="207" t="b">
        <f>AND(IF(DB_TBL_DATA_FIELDS[[#This Row],[FIELD_VALID_CUSTOM_LOGIC]]="",TRUE,DB_TBL_DATA_FIELDS[[#This Row],[FIELD_VALID_CUSTOM_LOGIC]]),DB_TBL_DATA_FIELDS[[#This Row],[RANGE_VALIDATION_PASSED_FLAG]])</f>
        <v>1</v>
      </c>
      <c r="L104" s="206"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04" s="332" t="str">
        <f>IF(DB_TBL_DATA_FIELDS[[#This Row],[SHEET_REF_CALC]]="","",IF(DB_TBL_DATA_FIELDS[[#This Row],[FIELD_EMPTY_FLAG]],IF(NOT(DB_TBL_DATA_FIELDS[[#This Row],[FIELD_REQ_FLAG]]),-1,1),IF(NOT(DB_TBL_DATA_FIELDS[[#This Row],[FIELD_VALID_FLAG]]),0,2)))</f>
        <v/>
      </c>
      <c r="N104" s="207" t="str">
        <f>IFERROR(VLOOKUP(DB_TBL_DATA_FIELDS[[#This Row],[FIELD_STATUS_CODE]],DB_TBL_CONFIG_FIELDSTATUSCODES[#All],3,FALSE),"")</f>
        <v/>
      </c>
      <c r="O104" s="207" t="str">
        <f>IFERROR(VLOOKUP(DB_TBL_DATA_FIELDS[[#This Row],[FIELD_STATUS_CODE]],DB_TBL_CONFIG_FIELDSTATUSCODES[#All],4,FALSE),"")</f>
        <v/>
      </c>
      <c r="P104" s="207" t="b">
        <f>TRUE</f>
        <v>1</v>
      </c>
      <c r="Q104" s="207" t="b">
        <v>0</v>
      </c>
      <c r="R104" s="203"/>
      <c r="S104" s="207">
        <f ca="1">IF(DB_TBL_DATA_FIELDS[[#This Row],[RANGE_VALIDATION_FLAG]]="Text",LEN(DB_TBL_DATA_FIELDS[[#This Row],[FIELD_VALUE_RAW]]),IFERROR(VALUE(DB_TBL_DATA_FIELDS[[#This Row],[FIELD_VALUE_RAW]]),-1))</f>
        <v>-1</v>
      </c>
      <c r="T104" s="207"/>
      <c r="U104" s="207"/>
      <c r="V104" s="207" t="b">
        <f>IF(NOT(DB_TBL_DATA_FIELDS[[#This Row],[RANGE_VALIDATION_ON_FLAG]]),TRUE,
AND(DB_TBL_DATA_FIELDS[[#This Row],[RANGE_VALUE_LEN]]&gt;=DB_TBL_DATA_FIELDS[[#This Row],[RANGE_VALIDATION_MIN]],DB_TBL_DATA_FIELDS[[#This Row],[RANGE_VALUE_LEN]]&lt;=DB_TBL_DATA_FIELDS[[#This Row],[RANGE_VALIDATION_MAX]]))</f>
        <v>1</v>
      </c>
      <c r="W104" s="202">
        <v>0</v>
      </c>
      <c r="X104" s="202" t="str">
        <f>IF(DB_TBL_DATA_FIELDS[[#This Row],[PCT_CALC_SHOW_STATUS_CODE]]=1,
DB_TBL_DATA_FIELDS[[#This Row],[FIELD_STATUS_CODE]],
IF(AND(DB_TBL_DATA_FIELDS[[#This Row],[PCT_CALC_SHOW_STATUS_CODE]]=2,DB_TBL_DATA_FIELDS[[#This Row],[FIELD_STATUS_CODE]]=0),
DB_TBL_DATA_FIELDS[[#This Row],[FIELD_STATUS_CODE]],
"")
)</f>
        <v/>
      </c>
      <c r="Y104" s="202"/>
      <c r="Z104" s="206" t="s">
        <v>2309</v>
      </c>
      <c r="AA104" s="206" t="s">
        <v>2460</v>
      </c>
      <c r="AB104" s="206" t="s">
        <v>2540</v>
      </c>
      <c r="AC104" s="206" t="s">
        <v>2656</v>
      </c>
      <c r="AD104" s="206"/>
      <c r="AE104" s="207"/>
    </row>
    <row r="105" spans="1:31" x14ac:dyDescent="0.3">
      <c r="A105" s="323"/>
      <c r="B105" s="202" t="str">
        <f>IFERROR(IF(FIND(DATA_EFORM_TYPE_CODE,DB_TBL_DATA_FIELDS[[#This Row],[APPLICABLE_EFORM_LIST]])&gt;0,DATA_EFORM_TYPE_CODE,""),"")</f>
        <v/>
      </c>
      <c r="C105" s="203" t="s">
        <v>2541</v>
      </c>
      <c r="D105" s="203" t="b">
        <v>1</v>
      </c>
      <c r="E105" s="204" t="b">
        <v>0</v>
      </c>
      <c r="F105" s="205" t="s">
        <v>2546</v>
      </c>
      <c r="G105" s="206" t="str">
        <f ca="1">IFERROR(VLOOKUP(DB_TBL_DATA_FIELDS[[#This Row],[FIELD_ID]],INDIRECT(DB_TBL_DATA_FIELDS[[#This Row],[SHEET_REF_CALC]]&amp;"!A:B"),2,FALSE),"")</f>
        <v/>
      </c>
      <c r="H105" s="206"/>
      <c r="I105" s="205" t="b">
        <f ca="1">(DB_TBL_DATA_FIELDS[[#This Row],[FIELD_VALUE_RAW]]="")</f>
        <v>1</v>
      </c>
      <c r="J105" s="205" t="s">
        <v>168</v>
      </c>
      <c r="K105" s="207" t="b">
        <f>AND(IF(DB_TBL_DATA_FIELDS[[#This Row],[FIELD_VALID_CUSTOM_LOGIC]]="",TRUE,DB_TBL_DATA_FIELDS[[#This Row],[FIELD_VALID_CUSTOM_LOGIC]]),DB_TBL_DATA_FIELDS[[#This Row],[RANGE_VALIDATION_PASSED_FLAG]])</f>
        <v>1</v>
      </c>
      <c r="L105" s="206"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05" s="332" t="str">
        <f>IF(DB_TBL_DATA_FIELDS[[#This Row],[SHEET_REF_CALC]]="","",IF(DB_TBL_DATA_FIELDS[[#This Row],[FIELD_EMPTY_FLAG]],IF(NOT(DB_TBL_DATA_FIELDS[[#This Row],[FIELD_REQ_FLAG]]),-1,1),IF(NOT(DB_TBL_DATA_FIELDS[[#This Row],[FIELD_VALID_FLAG]]),0,2)))</f>
        <v/>
      </c>
      <c r="N105" s="207" t="str">
        <f>IFERROR(VLOOKUP(DB_TBL_DATA_FIELDS[[#This Row],[FIELD_STATUS_CODE]],DB_TBL_CONFIG_FIELDSTATUSCODES[#All],3,FALSE),"")</f>
        <v/>
      </c>
      <c r="O105" s="207" t="str">
        <f>IFERROR(VLOOKUP(DB_TBL_DATA_FIELDS[[#This Row],[FIELD_STATUS_CODE]],DB_TBL_CONFIG_FIELDSTATUSCODES[#All],4,FALSE),"")</f>
        <v/>
      </c>
      <c r="P105" s="207" t="b">
        <f>TRUE</f>
        <v>1</v>
      </c>
      <c r="Q105" s="207" t="b">
        <v>0</v>
      </c>
      <c r="R105" s="203"/>
      <c r="S105" s="207">
        <f ca="1">IF(DB_TBL_DATA_FIELDS[[#This Row],[RANGE_VALIDATION_FLAG]]="Text",LEN(DB_TBL_DATA_FIELDS[[#This Row],[FIELD_VALUE_RAW]]),IFERROR(VALUE(DB_TBL_DATA_FIELDS[[#This Row],[FIELD_VALUE_RAW]]),-1))</f>
        <v>-1</v>
      </c>
      <c r="T105" s="207"/>
      <c r="U105" s="207"/>
      <c r="V105" s="207" t="b">
        <f>IF(NOT(DB_TBL_DATA_FIELDS[[#This Row],[RANGE_VALIDATION_ON_FLAG]]),TRUE,
AND(DB_TBL_DATA_FIELDS[[#This Row],[RANGE_VALUE_LEN]]&gt;=DB_TBL_DATA_FIELDS[[#This Row],[RANGE_VALIDATION_MIN]],DB_TBL_DATA_FIELDS[[#This Row],[RANGE_VALUE_LEN]]&lt;=DB_TBL_DATA_FIELDS[[#This Row],[RANGE_VALIDATION_MAX]]))</f>
        <v>1</v>
      </c>
      <c r="W105" s="202">
        <v>0</v>
      </c>
      <c r="X105" s="202" t="str">
        <f>IF(DB_TBL_DATA_FIELDS[[#This Row],[PCT_CALC_SHOW_STATUS_CODE]]=1,
DB_TBL_DATA_FIELDS[[#This Row],[FIELD_STATUS_CODE]],
IF(AND(DB_TBL_DATA_FIELDS[[#This Row],[PCT_CALC_SHOW_STATUS_CODE]]=2,DB_TBL_DATA_FIELDS[[#This Row],[FIELD_STATUS_CODE]]=0),
DB_TBL_DATA_FIELDS[[#This Row],[FIELD_STATUS_CODE]],
"")
)</f>
        <v/>
      </c>
      <c r="Y105" s="202"/>
      <c r="Z105" s="206" t="s">
        <v>2309</v>
      </c>
      <c r="AA105" s="206" t="s">
        <v>2460</v>
      </c>
      <c r="AB105" s="206" t="s">
        <v>2541</v>
      </c>
      <c r="AC105" s="206" t="s">
        <v>2656</v>
      </c>
      <c r="AD105" s="206"/>
      <c r="AE105" s="207"/>
    </row>
    <row r="106" spans="1:31" x14ac:dyDescent="0.3">
      <c r="A106" s="323"/>
      <c r="B106" s="202" t="str">
        <f>IFERROR(IF(FIND(DATA_EFORM_TYPE_CODE,DB_TBL_DATA_FIELDS[[#This Row],[APPLICABLE_EFORM_LIST]])&gt;0,DATA_EFORM_TYPE_CODE,""),"")</f>
        <v/>
      </c>
      <c r="C106" s="203" t="s">
        <v>2539</v>
      </c>
      <c r="D106" s="203" t="b">
        <v>1</v>
      </c>
      <c r="E106" s="204" t="b">
        <v>0</v>
      </c>
      <c r="F106" s="205" t="s">
        <v>2545</v>
      </c>
      <c r="G106" s="206" t="str">
        <f ca="1">IFERROR(VLOOKUP(DB_TBL_DATA_FIELDS[[#This Row],[FIELD_ID]],INDIRECT(DB_TBL_DATA_FIELDS[[#This Row],[SHEET_REF_CALC]]&amp;"!A:B"),2,FALSE),"")</f>
        <v/>
      </c>
      <c r="H106" s="206"/>
      <c r="I106" s="205" t="b">
        <f ca="1">(DB_TBL_DATA_FIELDS[[#This Row],[FIELD_VALUE_RAW]]="")</f>
        <v>1</v>
      </c>
      <c r="J106" s="205" t="s">
        <v>168</v>
      </c>
      <c r="K106" s="207" t="b">
        <f>AND(IF(DB_TBL_DATA_FIELDS[[#This Row],[FIELD_VALID_CUSTOM_LOGIC]]="",TRUE,DB_TBL_DATA_FIELDS[[#This Row],[FIELD_VALID_CUSTOM_LOGIC]]),DB_TBL_DATA_FIELDS[[#This Row],[RANGE_VALIDATION_PASSED_FLAG]])</f>
        <v>1</v>
      </c>
      <c r="L106" s="206"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06" s="332" t="str">
        <f>IF(DB_TBL_DATA_FIELDS[[#This Row],[SHEET_REF_CALC]]="","",IF(DB_TBL_DATA_FIELDS[[#This Row],[FIELD_EMPTY_FLAG]],IF(NOT(DB_TBL_DATA_FIELDS[[#This Row],[FIELD_REQ_FLAG]]),-1,1),IF(NOT(DB_TBL_DATA_FIELDS[[#This Row],[FIELD_VALID_FLAG]]),0,2)))</f>
        <v/>
      </c>
      <c r="N106" s="207" t="str">
        <f>IFERROR(VLOOKUP(DB_TBL_DATA_FIELDS[[#This Row],[FIELD_STATUS_CODE]],DB_TBL_CONFIG_FIELDSTATUSCODES[#All],3,FALSE),"")</f>
        <v/>
      </c>
      <c r="O106" s="207" t="str">
        <f>IFERROR(VLOOKUP(DB_TBL_DATA_FIELDS[[#This Row],[FIELD_STATUS_CODE]],DB_TBL_CONFIG_FIELDSTATUSCODES[#All],4,FALSE),"")</f>
        <v/>
      </c>
      <c r="P106" s="207" t="b">
        <f>TRUE</f>
        <v>1</v>
      </c>
      <c r="Q106" s="207" t="b">
        <v>0</v>
      </c>
      <c r="R106" s="203"/>
      <c r="S106" s="207">
        <f ca="1">IF(DB_TBL_DATA_FIELDS[[#This Row],[RANGE_VALIDATION_FLAG]]="Text",LEN(DB_TBL_DATA_FIELDS[[#This Row],[FIELD_VALUE_RAW]]),IFERROR(VALUE(DB_TBL_DATA_FIELDS[[#This Row],[FIELD_VALUE_RAW]]),-1))</f>
        <v>-1</v>
      </c>
      <c r="T106" s="207"/>
      <c r="U106" s="207"/>
      <c r="V106" s="207" t="b">
        <f>IF(NOT(DB_TBL_DATA_FIELDS[[#This Row],[RANGE_VALIDATION_ON_FLAG]]),TRUE,
AND(DB_TBL_DATA_FIELDS[[#This Row],[RANGE_VALUE_LEN]]&gt;=DB_TBL_DATA_FIELDS[[#This Row],[RANGE_VALIDATION_MIN]],DB_TBL_DATA_FIELDS[[#This Row],[RANGE_VALUE_LEN]]&lt;=DB_TBL_DATA_FIELDS[[#This Row],[RANGE_VALIDATION_MAX]]))</f>
        <v>1</v>
      </c>
      <c r="W106" s="202">
        <v>0</v>
      </c>
      <c r="X106" s="202" t="str">
        <f>IF(DB_TBL_DATA_FIELDS[[#This Row],[PCT_CALC_SHOW_STATUS_CODE]]=1,
DB_TBL_DATA_FIELDS[[#This Row],[FIELD_STATUS_CODE]],
IF(AND(DB_TBL_DATA_FIELDS[[#This Row],[PCT_CALC_SHOW_STATUS_CODE]]=2,DB_TBL_DATA_FIELDS[[#This Row],[FIELD_STATUS_CODE]]=0),
DB_TBL_DATA_FIELDS[[#This Row],[FIELD_STATUS_CODE]],
"")
)</f>
        <v/>
      </c>
      <c r="Y106" s="202"/>
      <c r="Z106" s="206" t="s">
        <v>2309</v>
      </c>
      <c r="AA106" s="206" t="s">
        <v>2460</v>
      </c>
      <c r="AB106" s="206" t="s">
        <v>2539</v>
      </c>
      <c r="AC106" s="206" t="s">
        <v>2656</v>
      </c>
      <c r="AD106" s="206"/>
      <c r="AE106" s="207"/>
    </row>
    <row r="107" spans="1:31" x14ac:dyDescent="0.3">
      <c r="A107" s="10" t="s">
        <v>2789</v>
      </c>
      <c r="B107" s="7" t="str">
        <f>IFERROR(IF(FIND(DATA_EFORM_TYPE_CODE,DB_TBL_DATA_FIELDS[[#This Row],[APPLICABLE_EFORM_LIST]])&gt;0,DATA_EFORM_TYPE_CODE,""),"")</f>
        <v/>
      </c>
      <c r="C107" s="33" t="s">
        <v>2784</v>
      </c>
      <c r="D107" s="4" t="b">
        <v>0</v>
      </c>
      <c r="E107" s="26" t="b">
        <v>1</v>
      </c>
      <c r="F107" s="6" t="s">
        <v>2786</v>
      </c>
      <c r="G107" s="34" t="str">
        <f ca="1">IFERROR(VLOOKUP(DB_TBL_DATA_FIELDS[[#This Row],[FIELD_ID]],INDIRECT(DB_TBL_DATA_FIELDS[[#This Row],[SHEET_REF_CALC]]&amp;"!A:B"),2,FALSE),"")</f>
        <v/>
      </c>
      <c r="H107" s="34"/>
      <c r="I107" s="6" t="b">
        <f ca="1">(DB_TBL_DATA_FIELDS[[#This Row],[FIELD_VALUE_RAW]]="")</f>
        <v>1</v>
      </c>
      <c r="J107" s="6" t="s">
        <v>9</v>
      </c>
      <c r="K107" s="8" t="b">
        <f ca="1">AND(IF(DB_TBL_DATA_FIELDS[[#This Row],[FIELD_VALID_CUSTOM_LOGIC]]="",TRUE,DB_TBL_DATA_FIELDS[[#This Row],[FIELD_VALID_CUSTOM_LOGIC]]),DB_TBL_DATA_FIELDS[[#This Row],[RANGE_VALIDATION_PASSED_FLAG]])</f>
        <v>1</v>
      </c>
      <c r="L107"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07" s="328" t="str">
        <f>IF(DB_TBL_DATA_FIELDS[[#This Row],[SHEET_REF_CALC]]="","",IF(DB_TBL_DATA_FIELDS[[#This Row],[FIELD_EMPTY_FLAG]],IF(NOT(DB_TBL_DATA_FIELDS[[#This Row],[FIELD_REQ_FLAG]]),-1,1),IF(NOT(DB_TBL_DATA_FIELDS[[#This Row],[FIELD_VALID_FLAG]]),0,2)))</f>
        <v/>
      </c>
      <c r="N107" s="8" t="str">
        <f>IFERROR(VLOOKUP(DB_TBL_DATA_FIELDS[[#This Row],[FIELD_STATUS_CODE]],DB_TBL_CONFIG_FIELDSTATUSCODES[#All],3,FALSE),"")</f>
        <v/>
      </c>
      <c r="O107" s="8" t="str">
        <f>IFERROR(VLOOKUP(DB_TBL_DATA_FIELDS[[#This Row],[FIELD_STATUS_CODE]],DB_TBL_CONFIG_FIELDSTATUSCODES[#All],4,FALSE),"")</f>
        <v/>
      </c>
      <c r="P107" s="8" t="b">
        <f>TRUE</f>
        <v>1</v>
      </c>
      <c r="Q107" s="8" t="b">
        <f>TRUE</f>
        <v>1</v>
      </c>
      <c r="R107" s="4" t="s">
        <v>9</v>
      </c>
      <c r="S107" s="8">
        <f ca="1">IF(DB_TBL_DATA_FIELDS[[#This Row],[RANGE_VALIDATION_FLAG]]="Text",LEN(DB_TBL_DATA_FIELDS[[#This Row],[FIELD_VALUE_RAW]]),IFERROR(VALUE(DB_TBL_DATA_FIELDS[[#This Row],[FIELD_VALUE_RAW]]),-1))</f>
        <v>0</v>
      </c>
      <c r="T107" s="8">
        <v>0</v>
      </c>
      <c r="U107" s="8">
        <v>500</v>
      </c>
      <c r="V107" s="8" t="b">
        <f ca="1">IF(NOT(DB_TBL_DATA_FIELDS[[#This Row],[RANGE_VALIDATION_ON_FLAG]]),TRUE,
AND(DB_TBL_DATA_FIELDS[[#This Row],[RANGE_VALUE_LEN]]&gt;=DB_TBL_DATA_FIELDS[[#This Row],[RANGE_VALIDATION_MIN]],DB_TBL_DATA_FIELDS[[#This Row],[RANGE_VALUE_LEN]]&lt;=DB_TBL_DATA_FIELDS[[#This Row],[RANGE_VALIDATION_MAX]]))</f>
        <v>1</v>
      </c>
      <c r="W107" s="7">
        <v>1</v>
      </c>
      <c r="X107" s="7" t="str">
        <f>IF(DB_TBL_DATA_FIELDS[[#This Row],[PCT_CALC_SHOW_STATUS_CODE]]=1,
DB_TBL_DATA_FIELDS[[#This Row],[FIELD_STATUS_CODE]],
IF(AND(DB_TBL_DATA_FIELDS[[#This Row],[PCT_CALC_SHOW_STATUS_CODE]]=2,DB_TBL_DATA_FIELDS[[#This Row],[FIELD_STATUS_CODE]]=0),
DB_TBL_DATA_FIELDS[[#This Row],[FIELD_STATUS_CODE]],
"")
)</f>
        <v/>
      </c>
      <c r="Y107" s="69"/>
      <c r="Z107" s="12" t="s">
        <v>2766</v>
      </c>
      <c r="AA107" s="12" t="s">
        <v>2460</v>
      </c>
      <c r="AB107" s="12" t="s">
        <v>2767</v>
      </c>
      <c r="AC107" s="12" t="s">
        <v>2788</v>
      </c>
      <c r="AD107" s="12"/>
      <c r="AE107" s="35" t="s">
        <v>2768</v>
      </c>
    </row>
    <row r="108" spans="1:31" x14ac:dyDescent="0.3">
      <c r="A108" s="10" t="s">
        <v>2789</v>
      </c>
      <c r="B108" s="7" t="str">
        <f>IFERROR(IF(FIND(DATA_EFORM_TYPE_CODE,DB_TBL_DATA_FIELDS[[#This Row],[APPLICABLE_EFORM_LIST]])&gt;0,DATA_EFORM_TYPE_CODE,""),"")</f>
        <v/>
      </c>
      <c r="C108" s="33" t="s">
        <v>2785</v>
      </c>
      <c r="D108" s="4" t="b">
        <v>0</v>
      </c>
      <c r="E108" s="26" t="b">
        <v>1</v>
      </c>
      <c r="F108" s="6" t="s">
        <v>2787</v>
      </c>
      <c r="G108" s="34" t="str">
        <f ca="1">IFERROR(VLOOKUP(DB_TBL_DATA_FIELDS[[#This Row],[FIELD_ID]],INDIRECT(DB_TBL_DATA_FIELDS[[#This Row],[SHEET_REF_CALC]]&amp;"!A:B"),2,FALSE),"")</f>
        <v/>
      </c>
      <c r="H108" s="34"/>
      <c r="I108" s="6" t="b">
        <f ca="1">(DB_TBL_DATA_FIELDS[[#This Row],[FIELD_VALUE_RAW]]="")</f>
        <v>1</v>
      </c>
      <c r="J108" s="6" t="s">
        <v>9</v>
      </c>
      <c r="K108" s="8" t="b">
        <f ca="1">AND(IF(DB_TBL_DATA_FIELDS[[#This Row],[FIELD_VALID_CUSTOM_LOGIC]]="",TRUE,DB_TBL_DATA_FIELDS[[#This Row],[FIELD_VALID_CUSTOM_LOGIC]]),DB_TBL_DATA_FIELDS[[#This Row],[RANGE_VALIDATION_PASSED_FLAG]])</f>
        <v>1</v>
      </c>
      <c r="L108"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08" s="328" t="str">
        <f>IF(DB_TBL_DATA_FIELDS[[#This Row],[SHEET_REF_CALC]]="","",IF(DB_TBL_DATA_FIELDS[[#This Row],[FIELD_EMPTY_FLAG]],IF(NOT(DB_TBL_DATA_FIELDS[[#This Row],[FIELD_REQ_FLAG]]),-1,1),IF(NOT(DB_TBL_DATA_FIELDS[[#This Row],[FIELD_VALID_FLAG]]),0,2)))</f>
        <v/>
      </c>
      <c r="N108" s="8" t="str">
        <f>IFERROR(VLOOKUP(DB_TBL_DATA_FIELDS[[#This Row],[FIELD_STATUS_CODE]],DB_TBL_CONFIG_FIELDSTATUSCODES[#All],3,FALSE),"")</f>
        <v/>
      </c>
      <c r="O108" s="8" t="str">
        <f>IFERROR(VLOOKUP(DB_TBL_DATA_FIELDS[[#This Row],[FIELD_STATUS_CODE]],DB_TBL_CONFIG_FIELDSTATUSCODES[#All],4,FALSE),"")</f>
        <v/>
      </c>
      <c r="P108" s="8" t="b">
        <f>TRUE</f>
        <v>1</v>
      </c>
      <c r="Q108" s="8" t="b">
        <f>TRUE</f>
        <v>1</v>
      </c>
      <c r="R108" s="4" t="s">
        <v>9</v>
      </c>
      <c r="S108" s="8">
        <f ca="1">IF(DB_TBL_DATA_FIELDS[[#This Row],[RANGE_VALIDATION_FLAG]]="Text",LEN(DB_TBL_DATA_FIELDS[[#This Row],[FIELD_VALUE_RAW]]),IFERROR(VALUE(DB_TBL_DATA_FIELDS[[#This Row],[FIELD_VALUE_RAW]]),-1))</f>
        <v>0</v>
      </c>
      <c r="T108" s="8">
        <v>0</v>
      </c>
      <c r="U108" s="8">
        <v>10</v>
      </c>
      <c r="V108" s="8" t="b">
        <f ca="1">IF(NOT(DB_TBL_DATA_FIELDS[[#This Row],[RANGE_VALIDATION_ON_FLAG]]),TRUE,
AND(DB_TBL_DATA_FIELDS[[#This Row],[RANGE_VALUE_LEN]]&gt;=DB_TBL_DATA_FIELDS[[#This Row],[RANGE_VALIDATION_MIN]],DB_TBL_DATA_FIELDS[[#This Row],[RANGE_VALUE_LEN]]&lt;=DB_TBL_DATA_FIELDS[[#This Row],[RANGE_VALIDATION_MAX]]))</f>
        <v>1</v>
      </c>
      <c r="W108" s="7">
        <v>1</v>
      </c>
      <c r="X108" s="7" t="str">
        <f>IF(DB_TBL_DATA_FIELDS[[#This Row],[PCT_CALC_SHOW_STATUS_CODE]]=1,
DB_TBL_DATA_FIELDS[[#This Row],[FIELD_STATUS_CODE]],
IF(AND(DB_TBL_DATA_FIELDS[[#This Row],[PCT_CALC_SHOW_STATUS_CODE]]=2,DB_TBL_DATA_FIELDS[[#This Row],[FIELD_STATUS_CODE]]=0),
DB_TBL_DATA_FIELDS[[#This Row],[FIELD_STATUS_CODE]],
"")
)</f>
        <v/>
      </c>
      <c r="Y108" s="69"/>
      <c r="Z108" s="12" t="s">
        <v>2766</v>
      </c>
      <c r="AA108" s="12" t="s">
        <v>2460</v>
      </c>
      <c r="AB108" s="12" t="s">
        <v>2767</v>
      </c>
      <c r="AC108" s="12" t="s">
        <v>2656</v>
      </c>
      <c r="AD108" s="12"/>
      <c r="AE108" s="35" t="s">
        <v>2768</v>
      </c>
    </row>
    <row r="109" spans="1:31" x14ac:dyDescent="0.3">
      <c r="A109" s="321" t="s">
        <v>2790</v>
      </c>
      <c r="B109" s="321" t="str">
        <f>IFERROR(IF(FIND(DATA_EFORM_TYPE_CODE,DB_TBL_DATA_FIELDS[[#This Row],[APPLICABLE_EFORM_LIST]])&gt;0,DATA_EFORM_TYPE_CODE,""),"")</f>
        <v>AHEAD</v>
      </c>
      <c r="C109" s="203" t="s">
        <v>2542</v>
      </c>
      <c r="D109" s="203" t="b">
        <v>1</v>
      </c>
      <c r="E109" s="204" t="b">
        <v>0</v>
      </c>
      <c r="F109" s="205" t="s">
        <v>2551</v>
      </c>
      <c r="G109" s="206" t="str">
        <f ca="1">IFERROR(VLOOKUP(DB_TBL_DATA_FIELDS[[#This Row],[FIELD_ID]],INDIRECT(DB_TBL_DATA_FIELDS[[#This Row],[SHEET_REF_CALC]]&amp;"!A:B"),2,FALSE),"")</f>
        <v/>
      </c>
      <c r="H109" s="206"/>
      <c r="I109" s="205" t="b">
        <f ca="1">(DB_TBL_DATA_FIELDS[[#This Row],[FIELD_VALUE_RAW]]="")</f>
        <v>1</v>
      </c>
      <c r="J109" s="205" t="s">
        <v>168</v>
      </c>
      <c r="K109" s="207" t="b">
        <f>AND(IF(DB_TBL_DATA_FIELDS[[#This Row],[FIELD_VALID_CUSTOM_LOGIC]]="",TRUE,DB_TBL_DATA_FIELDS[[#This Row],[FIELD_VALID_CUSTOM_LOGIC]]),DB_TBL_DATA_FIELDS[[#This Row],[RANGE_VALIDATION_PASSED_FLAG]])</f>
        <v>1</v>
      </c>
      <c r="L109" s="206"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09" s="332">
        <f ca="1">IF(DB_TBL_DATA_FIELDS[[#This Row],[SHEET_REF_CALC]]="","",IF(DB_TBL_DATA_FIELDS[[#This Row],[FIELD_EMPTY_FLAG]],IF(NOT(DB_TBL_DATA_FIELDS[[#This Row],[FIELD_REQ_FLAG]]),-1,1),IF(NOT(DB_TBL_DATA_FIELDS[[#This Row],[FIELD_VALID_FLAG]]),0,2)))</f>
        <v>-1</v>
      </c>
      <c r="N109" s="207" t="str">
        <f ca="1">IFERROR(VLOOKUP(DB_TBL_DATA_FIELDS[[#This Row],[FIELD_STATUS_CODE]],DB_TBL_CONFIG_FIELDSTATUSCODES[#All],3,FALSE),"")</f>
        <v>Optional</v>
      </c>
      <c r="O109" s="207" t="str">
        <f ca="1">IFERROR(VLOOKUP(DB_TBL_DATA_FIELDS[[#This Row],[FIELD_STATUS_CODE]],DB_TBL_CONFIG_FIELDSTATUSCODES[#All],4,FALSE),"")</f>
        <v xml:space="preserve"> </v>
      </c>
      <c r="P109" s="207" t="b">
        <f>TRUE</f>
        <v>1</v>
      </c>
      <c r="Q109" s="207" t="b">
        <v>0</v>
      </c>
      <c r="R109" s="203"/>
      <c r="S109" s="207">
        <f ca="1">IF(DB_TBL_DATA_FIELDS[[#This Row],[RANGE_VALIDATION_FLAG]]="Text",LEN(DB_TBL_DATA_FIELDS[[#This Row],[FIELD_VALUE_RAW]]),IFERROR(VALUE(DB_TBL_DATA_FIELDS[[#This Row],[FIELD_VALUE_RAW]]),-1))</f>
        <v>-1</v>
      </c>
      <c r="T109" s="207"/>
      <c r="U109" s="207"/>
      <c r="V109" s="207" t="b">
        <f>IF(NOT(DB_TBL_DATA_FIELDS[[#This Row],[RANGE_VALIDATION_ON_FLAG]]),TRUE,
AND(DB_TBL_DATA_FIELDS[[#This Row],[RANGE_VALUE_LEN]]&gt;=DB_TBL_DATA_FIELDS[[#This Row],[RANGE_VALIDATION_MIN]],DB_TBL_DATA_FIELDS[[#This Row],[RANGE_VALUE_LEN]]&lt;=DB_TBL_DATA_FIELDS[[#This Row],[RANGE_VALIDATION_MAX]]))</f>
        <v>1</v>
      </c>
      <c r="W109" s="202">
        <v>1</v>
      </c>
      <c r="X109" s="202">
        <f ca="1">IF(DB_TBL_DATA_FIELDS[[#This Row],[PCT_CALC_SHOW_STATUS_CODE]]=1,
DB_TBL_DATA_FIELDS[[#This Row],[FIELD_STATUS_CODE]],
IF(AND(DB_TBL_DATA_FIELDS[[#This Row],[PCT_CALC_SHOW_STATUS_CODE]]=2,DB_TBL_DATA_FIELDS[[#This Row],[FIELD_STATUS_CODE]]=0),
DB_TBL_DATA_FIELDS[[#This Row],[FIELD_STATUS_CODE]],
"")
)</f>
        <v>-1</v>
      </c>
      <c r="Y109" s="202"/>
      <c r="Z109" s="206" t="s">
        <v>2310</v>
      </c>
      <c r="AA109" s="206" t="s">
        <v>2460</v>
      </c>
      <c r="AB109" s="206" t="s">
        <v>2542</v>
      </c>
      <c r="AC109" s="206" t="s">
        <v>2656</v>
      </c>
      <c r="AD109" s="206"/>
      <c r="AE109" s="207" t="s">
        <v>2846</v>
      </c>
    </row>
    <row r="110" spans="1:31" s="4" customFormat="1" x14ac:dyDescent="0.3">
      <c r="A110" s="321" t="s">
        <v>2790</v>
      </c>
      <c r="B110" s="321" t="str">
        <f>IFERROR(IF(FIND(DATA_EFORM_TYPE_CODE,DB_TBL_DATA_FIELDS[[#This Row],[APPLICABLE_EFORM_LIST]])&gt;0,DATA_EFORM_TYPE_CODE,""),"")</f>
        <v>AHEAD</v>
      </c>
      <c r="C110" s="203" t="s">
        <v>2543</v>
      </c>
      <c r="D110" s="203" t="b">
        <v>1</v>
      </c>
      <c r="E110" s="204" t="b">
        <v>0</v>
      </c>
      <c r="F110" s="205" t="s">
        <v>2552</v>
      </c>
      <c r="G110" s="206" t="str">
        <f ca="1">IFERROR(VLOOKUP(DB_TBL_DATA_FIELDS[[#This Row],[FIELD_ID]],INDIRECT(DB_TBL_DATA_FIELDS[[#This Row],[SHEET_REF_CALC]]&amp;"!A:B"),2,FALSE),"")</f>
        <v/>
      </c>
      <c r="H110" s="206"/>
      <c r="I110" s="205" t="b">
        <f ca="1">(DB_TBL_DATA_FIELDS[[#This Row],[FIELD_VALUE_RAW]]="")</f>
        <v>1</v>
      </c>
      <c r="J110" s="205" t="s">
        <v>168</v>
      </c>
      <c r="K110" s="207" t="b">
        <f>AND(IF(DB_TBL_DATA_FIELDS[[#This Row],[FIELD_VALID_CUSTOM_LOGIC]]="",TRUE,DB_TBL_DATA_FIELDS[[#This Row],[FIELD_VALID_CUSTOM_LOGIC]]),DB_TBL_DATA_FIELDS[[#This Row],[RANGE_VALIDATION_PASSED_FLAG]])</f>
        <v>1</v>
      </c>
      <c r="L110" s="206"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10" s="332">
        <f ca="1">IF(DB_TBL_DATA_FIELDS[[#This Row],[SHEET_REF_CALC]]="","",IF(DB_TBL_DATA_FIELDS[[#This Row],[FIELD_EMPTY_FLAG]],IF(NOT(DB_TBL_DATA_FIELDS[[#This Row],[FIELD_REQ_FLAG]]),-1,1),IF(NOT(DB_TBL_DATA_FIELDS[[#This Row],[FIELD_VALID_FLAG]]),0,2)))</f>
        <v>-1</v>
      </c>
      <c r="N110" s="207" t="str">
        <f ca="1">IFERROR(VLOOKUP(DB_TBL_DATA_FIELDS[[#This Row],[FIELD_STATUS_CODE]],DB_TBL_CONFIG_FIELDSTATUSCODES[#All],3,FALSE),"")</f>
        <v>Optional</v>
      </c>
      <c r="O110" s="207" t="str">
        <f ca="1">IFERROR(VLOOKUP(DB_TBL_DATA_FIELDS[[#This Row],[FIELD_STATUS_CODE]],DB_TBL_CONFIG_FIELDSTATUSCODES[#All],4,FALSE),"")</f>
        <v xml:space="preserve"> </v>
      </c>
      <c r="P110" s="207" t="b">
        <f>TRUE</f>
        <v>1</v>
      </c>
      <c r="Q110" s="207" t="b">
        <v>0</v>
      </c>
      <c r="R110" s="203"/>
      <c r="S110" s="207">
        <f ca="1">IF(DB_TBL_DATA_FIELDS[[#This Row],[RANGE_VALIDATION_FLAG]]="Text",LEN(DB_TBL_DATA_FIELDS[[#This Row],[FIELD_VALUE_RAW]]),IFERROR(VALUE(DB_TBL_DATA_FIELDS[[#This Row],[FIELD_VALUE_RAW]]),-1))</f>
        <v>-1</v>
      </c>
      <c r="T110" s="207"/>
      <c r="U110" s="207"/>
      <c r="V110" s="207" t="b">
        <f>IF(NOT(DB_TBL_DATA_FIELDS[[#This Row],[RANGE_VALIDATION_ON_FLAG]]),TRUE,
AND(DB_TBL_DATA_FIELDS[[#This Row],[RANGE_VALUE_LEN]]&gt;=DB_TBL_DATA_FIELDS[[#This Row],[RANGE_VALIDATION_MIN]],DB_TBL_DATA_FIELDS[[#This Row],[RANGE_VALUE_LEN]]&lt;=DB_TBL_DATA_FIELDS[[#This Row],[RANGE_VALIDATION_MAX]]))</f>
        <v>1</v>
      </c>
      <c r="W110" s="202">
        <v>1</v>
      </c>
      <c r="X110" s="202">
        <f ca="1">IF(DB_TBL_DATA_FIELDS[[#This Row],[PCT_CALC_SHOW_STATUS_CODE]]=1,
DB_TBL_DATA_FIELDS[[#This Row],[FIELD_STATUS_CODE]],
IF(AND(DB_TBL_DATA_FIELDS[[#This Row],[PCT_CALC_SHOW_STATUS_CODE]]=2,DB_TBL_DATA_FIELDS[[#This Row],[FIELD_STATUS_CODE]]=0),
DB_TBL_DATA_FIELDS[[#This Row],[FIELD_STATUS_CODE]],
"")
)</f>
        <v>-1</v>
      </c>
      <c r="Y110" s="202"/>
      <c r="Z110" s="206" t="s">
        <v>2311</v>
      </c>
      <c r="AA110" s="206" t="s">
        <v>2460</v>
      </c>
      <c r="AB110" s="206" t="s">
        <v>2543</v>
      </c>
      <c r="AC110" s="206" t="s">
        <v>2656</v>
      </c>
      <c r="AD110" s="206"/>
      <c r="AE110" s="207" t="s">
        <v>2846</v>
      </c>
    </row>
    <row r="111" spans="1:31" x14ac:dyDescent="0.3">
      <c r="A111" s="321" t="s">
        <v>2790</v>
      </c>
      <c r="B111" s="321" t="str">
        <f>IFERROR(IF(FIND(DATA_EFORM_TYPE_CODE,DB_TBL_DATA_FIELDS[[#This Row],[APPLICABLE_EFORM_LIST]])&gt;0,DATA_EFORM_TYPE_CODE,""),"")</f>
        <v>AHEAD</v>
      </c>
      <c r="C111" s="203" t="s">
        <v>2544</v>
      </c>
      <c r="D111" s="203" t="b">
        <v>1</v>
      </c>
      <c r="E111" s="204" t="b">
        <v>0</v>
      </c>
      <c r="F111" s="205" t="s">
        <v>2553</v>
      </c>
      <c r="G111" s="206" t="str">
        <f ca="1">IFERROR(VLOOKUP(DB_TBL_DATA_FIELDS[[#This Row],[FIELD_ID]],INDIRECT(DB_TBL_DATA_FIELDS[[#This Row],[SHEET_REF_CALC]]&amp;"!A:B"),2,FALSE),"")</f>
        <v/>
      </c>
      <c r="H111" s="206"/>
      <c r="I111" s="205" t="b">
        <f ca="1">(DB_TBL_DATA_FIELDS[[#This Row],[FIELD_VALUE_RAW]]="")</f>
        <v>1</v>
      </c>
      <c r="J111" s="205" t="s">
        <v>168</v>
      </c>
      <c r="K111" s="207" t="b">
        <f>AND(IF(DB_TBL_DATA_FIELDS[[#This Row],[FIELD_VALID_CUSTOM_LOGIC]]="",TRUE,DB_TBL_DATA_FIELDS[[#This Row],[FIELD_VALID_CUSTOM_LOGIC]]),DB_TBL_DATA_FIELDS[[#This Row],[RANGE_VALIDATION_PASSED_FLAG]])</f>
        <v>1</v>
      </c>
      <c r="L111" s="206"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11" s="332">
        <f ca="1">IF(DB_TBL_DATA_FIELDS[[#This Row],[SHEET_REF_CALC]]="","",IF(DB_TBL_DATA_FIELDS[[#This Row],[FIELD_EMPTY_FLAG]],IF(NOT(DB_TBL_DATA_FIELDS[[#This Row],[FIELD_REQ_FLAG]]),-1,1),IF(NOT(DB_TBL_DATA_FIELDS[[#This Row],[FIELD_VALID_FLAG]]),0,2)))</f>
        <v>-1</v>
      </c>
      <c r="N111" s="207" t="str">
        <f ca="1">IFERROR(VLOOKUP(DB_TBL_DATA_FIELDS[[#This Row],[FIELD_STATUS_CODE]],DB_TBL_CONFIG_FIELDSTATUSCODES[#All],3,FALSE),"")</f>
        <v>Optional</v>
      </c>
      <c r="O111" s="207" t="str">
        <f ca="1">IFERROR(VLOOKUP(DB_TBL_DATA_FIELDS[[#This Row],[FIELD_STATUS_CODE]],DB_TBL_CONFIG_FIELDSTATUSCODES[#All],4,FALSE),"")</f>
        <v xml:space="preserve"> </v>
      </c>
      <c r="P111" s="207" t="b">
        <f>TRUE</f>
        <v>1</v>
      </c>
      <c r="Q111" s="207" t="b">
        <v>0</v>
      </c>
      <c r="R111" s="203"/>
      <c r="S111" s="207">
        <f ca="1">IF(DB_TBL_DATA_FIELDS[[#This Row],[RANGE_VALIDATION_FLAG]]="Text",LEN(DB_TBL_DATA_FIELDS[[#This Row],[FIELD_VALUE_RAW]]),IFERROR(VALUE(DB_TBL_DATA_FIELDS[[#This Row],[FIELD_VALUE_RAW]]),-1))</f>
        <v>-1</v>
      </c>
      <c r="T111" s="207"/>
      <c r="U111" s="207"/>
      <c r="V111" s="207" t="b">
        <f>IF(NOT(DB_TBL_DATA_FIELDS[[#This Row],[RANGE_VALIDATION_ON_FLAG]]),TRUE,
AND(DB_TBL_DATA_FIELDS[[#This Row],[RANGE_VALUE_LEN]]&gt;=DB_TBL_DATA_FIELDS[[#This Row],[RANGE_VALIDATION_MIN]],DB_TBL_DATA_FIELDS[[#This Row],[RANGE_VALUE_LEN]]&lt;=DB_TBL_DATA_FIELDS[[#This Row],[RANGE_VALIDATION_MAX]]))</f>
        <v>1</v>
      </c>
      <c r="W111" s="202">
        <v>1</v>
      </c>
      <c r="X111" s="202">
        <f ca="1">IF(DB_TBL_DATA_FIELDS[[#This Row],[PCT_CALC_SHOW_STATUS_CODE]]=1,
DB_TBL_DATA_FIELDS[[#This Row],[FIELD_STATUS_CODE]],
IF(AND(DB_TBL_DATA_FIELDS[[#This Row],[PCT_CALC_SHOW_STATUS_CODE]]=2,DB_TBL_DATA_FIELDS[[#This Row],[FIELD_STATUS_CODE]]=0),
DB_TBL_DATA_FIELDS[[#This Row],[FIELD_STATUS_CODE]],
"")
)</f>
        <v>-1</v>
      </c>
      <c r="Y111" s="202"/>
      <c r="Z111" s="206" t="s">
        <v>2312</v>
      </c>
      <c r="AA111" s="206" t="s">
        <v>2460</v>
      </c>
      <c r="AB111" s="206" t="s">
        <v>2544</v>
      </c>
      <c r="AC111" s="206" t="s">
        <v>2656</v>
      </c>
      <c r="AD111" s="206"/>
      <c r="AE111" s="207" t="s">
        <v>2846</v>
      </c>
    </row>
    <row r="112" spans="1:31" s="4" customFormat="1" x14ac:dyDescent="0.3">
      <c r="A112" s="12" t="s">
        <v>2790</v>
      </c>
      <c r="B112" s="8" t="str">
        <f>IFERROR(IF(FIND(DATA_EFORM_TYPE_CODE,DB_TBL_DATA_FIELDS[[#This Row],[APPLICABLE_EFORM_LIST]])&gt;0,DATA_EFORM_TYPE_CODE,""),"")</f>
        <v>AHEAD</v>
      </c>
      <c r="C112" s="4" t="s">
        <v>2554</v>
      </c>
      <c r="D112" s="4" t="b">
        <v>1</v>
      </c>
      <c r="E112" s="26" t="b">
        <v>1</v>
      </c>
      <c r="F112" s="6" t="s">
        <v>2555</v>
      </c>
      <c r="G112" s="12" t="str">
        <f ca="1">IFERROR(VLOOKUP(DB_TBL_DATA_FIELDS[[#This Row],[FIELD_ID]],INDIRECT(DB_TBL_DATA_FIELDS[[#This Row],[SHEET_REF_CALC]]&amp;"!A:B"),2,FALSE),"")</f>
        <v/>
      </c>
      <c r="H112" s="12"/>
      <c r="I112" s="6" t="b">
        <f ca="1">(DB_TBL_DATA_FIELDS[[#This Row],[FIELD_VALUE_RAW]]="")</f>
        <v>1</v>
      </c>
      <c r="J112" s="6" t="s">
        <v>9</v>
      </c>
      <c r="K112" s="8" t="b">
        <f ca="1">AND(IF(DB_TBL_DATA_FIELDS[[#This Row],[FIELD_VALID_CUSTOM_LOGIC]]="",TRUE,DB_TBL_DATA_FIELDS[[#This Row],[FIELD_VALID_CUSTOM_LOGIC]]),DB_TBL_DATA_FIELDS[[#This Row],[RANGE_VALIDATION_PASSED_FLAG]])</f>
        <v>1</v>
      </c>
      <c r="L112"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12" s="328">
        <f ca="1">IF(DB_TBL_DATA_FIELDS[[#This Row],[SHEET_REF_CALC]]="","",IF(DB_TBL_DATA_FIELDS[[#This Row],[FIELD_EMPTY_FLAG]],IF(NOT(DB_TBL_DATA_FIELDS[[#This Row],[FIELD_REQ_FLAG]]),-1,1),IF(NOT(DB_TBL_DATA_FIELDS[[#This Row],[FIELD_VALID_FLAG]]),0,2)))</f>
        <v>1</v>
      </c>
      <c r="N112" s="8" t="str">
        <f ca="1">IFERROR(VLOOKUP(DB_TBL_DATA_FIELDS[[#This Row],[FIELD_STATUS_CODE]],DB_TBL_CONFIG_FIELDSTATUSCODES[#All],3,FALSE),"")</f>
        <v>Required</v>
      </c>
      <c r="O112" s="8" t="str">
        <f ca="1">IFERROR(VLOOKUP(DB_TBL_DATA_FIELDS[[#This Row],[FIELD_STATUS_CODE]],DB_TBL_CONFIG_FIELDSTATUSCODES[#All],4,FALSE),"")</f>
        <v>i</v>
      </c>
      <c r="P112" s="8" t="b">
        <f>TRUE</f>
        <v>1</v>
      </c>
      <c r="Q112" s="8" t="b">
        <f>TRUE</f>
        <v>1</v>
      </c>
      <c r="R112" s="4" t="s">
        <v>9</v>
      </c>
      <c r="S112" s="8">
        <f ca="1">IF(DB_TBL_DATA_FIELDS[[#This Row],[RANGE_VALIDATION_FLAG]]="Text",LEN(DB_TBL_DATA_FIELDS[[#This Row],[FIELD_VALUE_RAW]]),IFERROR(VALUE(DB_TBL_DATA_FIELDS[[#This Row],[FIELD_VALUE_RAW]]),-1))</f>
        <v>0</v>
      </c>
      <c r="T112" s="8">
        <v>0</v>
      </c>
      <c r="U112" s="73">
        <f>CONFIG_CHAR_LIMIT_MEDIUM</f>
        <v>2000</v>
      </c>
      <c r="V112" s="8" t="b">
        <f ca="1">IF(NOT(DB_TBL_DATA_FIELDS[[#This Row],[RANGE_VALIDATION_ON_FLAG]]),TRUE,
AND(DB_TBL_DATA_FIELDS[[#This Row],[RANGE_VALUE_LEN]]&gt;=DB_TBL_DATA_FIELDS[[#This Row],[RANGE_VALIDATION_MIN]],DB_TBL_DATA_FIELDS[[#This Row],[RANGE_VALUE_LEN]]&lt;=DB_TBL_DATA_FIELDS[[#This Row],[RANGE_VALIDATION_MAX]]))</f>
        <v>1</v>
      </c>
      <c r="W112" s="8">
        <v>1</v>
      </c>
      <c r="X112" s="8">
        <f ca="1">IF(DB_TBL_DATA_FIELDS[[#This Row],[PCT_CALC_SHOW_STATUS_CODE]]=1,
DB_TBL_DATA_FIELDS[[#This Row],[FIELD_STATUS_CODE]],
IF(AND(DB_TBL_DATA_FIELDS[[#This Row],[PCT_CALC_SHOW_STATUS_CODE]]=2,DB_TBL_DATA_FIELDS[[#This Row],[FIELD_STATUS_CODE]]=0),
DB_TBL_DATA_FIELDS[[#This Row],[FIELD_STATUS_CODE]],
"")
)</f>
        <v>1</v>
      </c>
      <c r="Y112" s="8"/>
      <c r="Z112" s="12" t="s">
        <v>2313</v>
      </c>
      <c r="AA112" s="12" t="s">
        <v>2460</v>
      </c>
      <c r="AB112" s="12" t="s">
        <v>2554</v>
      </c>
      <c r="AC112" s="12" t="s">
        <v>2657</v>
      </c>
      <c r="AD112" s="12"/>
      <c r="AE112" s="8"/>
    </row>
    <row r="113" spans="1:31" x14ac:dyDescent="0.3">
      <c r="A113" s="12" t="s">
        <v>2771</v>
      </c>
      <c r="B113" s="8" t="str">
        <f>IFERROR(IF(FIND(DATA_EFORM_TYPE_CODE,DB_TBL_DATA_FIELDS[[#This Row],[APPLICABLE_EFORM_LIST]])&gt;0,DATA_EFORM_TYPE_CODE,""),"")</f>
        <v>AHEAD</v>
      </c>
      <c r="C113" s="4" t="s">
        <v>2807</v>
      </c>
      <c r="D113" s="4" t="b">
        <v>1</v>
      </c>
      <c r="E113" s="26" t="b">
        <v>1</v>
      </c>
      <c r="F113" s="6" t="s">
        <v>2812</v>
      </c>
      <c r="G113" s="12" t="str">
        <f ca="1">IFERROR(VLOOKUP(DB_TBL_DATA_FIELDS[[#This Row],[FIELD_ID]],INDIRECT(DB_TBL_DATA_FIELDS[[#This Row],[SHEET_REF_CALC]]&amp;"!A:B"),2,FALSE),"")</f>
        <v/>
      </c>
      <c r="H113" s="12"/>
      <c r="I113" s="6" t="b">
        <f ca="1">(DB_TBL_DATA_FIELDS[[#This Row],[FIELD_VALUE_RAW]]="")</f>
        <v>1</v>
      </c>
      <c r="J113" s="6" t="s">
        <v>168</v>
      </c>
      <c r="K113" s="8" t="b">
        <f>AND(IF(DB_TBL_DATA_FIELDS[[#This Row],[FIELD_VALID_CUSTOM_LOGIC]]="",TRUE,DB_TBL_DATA_FIELDS[[#This Row],[FIELD_VALID_CUSTOM_LOGIC]]),DB_TBL_DATA_FIELDS[[#This Row],[RANGE_VALIDATION_PASSED_FLAG]])</f>
        <v>1</v>
      </c>
      <c r="L113"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13" s="328">
        <f ca="1">IF(DB_TBL_DATA_FIELDS[[#This Row],[SHEET_REF_CALC]]="","",IF(DB_TBL_DATA_FIELDS[[#This Row],[FIELD_EMPTY_FLAG]],IF(NOT(DB_TBL_DATA_FIELDS[[#This Row],[FIELD_REQ_FLAG]]),-1,1),IF(NOT(DB_TBL_DATA_FIELDS[[#This Row],[FIELD_VALID_FLAG]]),0,2)))</f>
        <v>1</v>
      </c>
      <c r="N113" s="8" t="str">
        <f ca="1">IFERROR(VLOOKUP(DB_TBL_DATA_FIELDS[[#This Row],[FIELD_STATUS_CODE]],DB_TBL_CONFIG_FIELDSTATUSCODES[#All],3,FALSE),"")</f>
        <v>Required</v>
      </c>
      <c r="O113" s="8" t="str">
        <f ca="1">IFERROR(VLOOKUP(DB_TBL_DATA_FIELDS[[#This Row],[FIELD_STATUS_CODE]],DB_TBL_CONFIG_FIELDSTATUSCODES[#All],4,FALSE),"")</f>
        <v>i</v>
      </c>
      <c r="P113" s="8" t="b">
        <f>TRUE</f>
        <v>1</v>
      </c>
      <c r="Q113" s="7" t="b">
        <v>0</v>
      </c>
      <c r="R113" s="4"/>
      <c r="S113" s="8">
        <f ca="1">IF(DB_TBL_DATA_FIELDS[[#This Row],[RANGE_VALIDATION_FLAG]]="Text",LEN(DB_TBL_DATA_FIELDS[[#This Row],[FIELD_VALUE_RAW]]),IFERROR(VALUE(DB_TBL_DATA_FIELDS[[#This Row],[FIELD_VALUE_RAW]]),-1))</f>
        <v>-1</v>
      </c>
      <c r="T113" s="8"/>
      <c r="U113" s="35"/>
      <c r="V113" s="8" t="b">
        <f>IF(NOT(DB_TBL_DATA_FIELDS[[#This Row],[RANGE_VALIDATION_ON_FLAG]]),TRUE,
AND(DB_TBL_DATA_FIELDS[[#This Row],[RANGE_VALUE_LEN]]&gt;=DB_TBL_DATA_FIELDS[[#This Row],[RANGE_VALIDATION_MIN]],DB_TBL_DATA_FIELDS[[#This Row],[RANGE_VALUE_LEN]]&lt;=DB_TBL_DATA_FIELDS[[#This Row],[RANGE_VALIDATION_MAX]]))</f>
        <v>1</v>
      </c>
      <c r="W113" s="8">
        <v>1</v>
      </c>
      <c r="X113" s="8">
        <f ca="1">IF(DB_TBL_DATA_FIELDS[[#This Row],[PCT_CALC_SHOW_STATUS_CODE]]=1,
DB_TBL_DATA_FIELDS[[#This Row],[FIELD_STATUS_CODE]],
IF(AND(DB_TBL_DATA_FIELDS[[#This Row],[PCT_CALC_SHOW_STATUS_CODE]]=2,DB_TBL_DATA_FIELDS[[#This Row],[FIELD_STATUS_CODE]]=0),
DB_TBL_DATA_FIELDS[[#This Row],[FIELD_STATUS_CODE]],
"")
)</f>
        <v>1</v>
      </c>
      <c r="Y113" s="8"/>
      <c r="Z113" s="12" t="s">
        <v>2817</v>
      </c>
      <c r="AA113" s="12" t="s">
        <v>2460</v>
      </c>
      <c r="AB113" s="12" t="s">
        <v>2767</v>
      </c>
      <c r="AC113" s="12"/>
      <c r="AD113" s="12"/>
      <c r="AE113" s="8" t="s">
        <v>2797</v>
      </c>
    </row>
    <row r="114" spans="1:31" x14ac:dyDescent="0.3">
      <c r="A114" s="12" t="s">
        <v>2771</v>
      </c>
      <c r="B114" s="8" t="str">
        <f>IFERROR(IF(FIND(DATA_EFORM_TYPE_CODE,DB_TBL_DATA_FIELDS[[#This Row],[APPLICABLE_EFORM_LIST]])&gt;0,DATA_EFORM_TYPE_CODE,""),"")</f>
        <v>AHEAD</v>
      </c>
      <c r="C114" s="4" t="s">
        <v>2811</v>
      </c>
      <c r="D114" s="4" t="b">
        <v>1</v>
      </c>
      <c r="E114" s="26" t="b">
        <v>1</v>
      </c>
      <c r="F114" s="6" t="s">
        <v>2816</v>
      </c>
      <c r="G114" s="12" t="str">
        <f ca="1">IFERROR(VLOOKUP(DB_TBL_DATA_FIELDS[[#This Row],[FIELD_ID]],INDIRECT(DB_TBL_DATA_FIELDS[[#This Row],[SHEET_REF_CALC]]&amp;"!A:B"),2,FALSE),"")</f>
        <v/>
      </c>
      <c r="H114" s="12"/>
      <c r="I114" s="6" t="b">
        <f ca="1">(DB_TBL_DATA_FIELDS[[#This Row],[FIELD_VALUE_RAW]]="")</f>
        <v>1</v>
      </c>
      <c r="J114" s="6" t="s">
        <v>168</v>
      </c>
      <c r="K114" s="8" t="b">
        <f>AND(IF(DB_TBL_DATA_FIELDS[[#This Row],[FIELD_VALID_CUSTOM_LOGIC]]="",TRUE,DB_TBL_DATA_FIELDS[[#This Row],[FIELD_VALID_CUSTOM_LOGIC]]),DB_TBL_DATA_FIELDS[[#This Row],[RANGE_VALIDATION_PASSED_FLAG]])</f>
        <v>1</v>
      </c>
      <c r="L114"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14" s="328">
        <f ca="1">IF(DB_TBL_DATA_FIELDS[[#This Row],[SHEET_REF_CALC]]="","",IF(DB_TBL_DATA_FIELDS[[#This Row],[FIELD_EMPTY_FLAG]],IF(NOT(DB_TBL_DATA_FIELDS[[#This Row],[FIELD_REQ_FLAG]]),-1,1),IF(NOT(DB_TBL_DATA_FIELDS[[#This Row],[FIELD_VALID_FLAG]]),0,2)))</f>
        <v>1</v>
      </c>
      <c r="N114" s="8" t="str">
        <f ca="1">IFERROR(VLOOKUP(DB_TBL_DATA_FIELDS[[#This Row],[FIELD_STATUS_CODE]],DB_TBL_CONFIG_FIELDSTATUSCODES[#All],3,FALSE),"")</f>
        <v>Required</v>
      </c>
      <c r="O114" s="8" t="str">
        <f ca="1">IFERROR(VLOOKUP(DB_TBL_DATA_FIELDS[[#This Row],[FIELD_STATUS_CODE]],DB_TBL_CONFIG_FIELDSTATUSCODES[#All],4,FALSE),"")</f>
        <v>i</v>
      </c>
      <c r="P114" s="8" t="b">
        <f>TRUE</f>
        <v>1</v>
      </c>
      <c r="Q114" s="7" t="b">
        <v>0</v>
      </c>
      <c r="R114" s="4"/>
      <c r="S114" s="8">
        <f ca="1">IF(DB_TBL_DATA_FIELDS[[#This Row],[RANGE_VALIDATION_FLAG]]="Text",LEN(DB_TBL_DATA_FIELDS[[#This Row],[FIELD_VALUE_RAW]]),IFERROR(VALUE(DB_TBL_DATA_FIELDS[[#This Row],[FIELD_VALUE_RAW]]),-1))</f>
        <v>-1</v>
      </c>
      <c r="T114" s="8"/>
      <c r="U114" s="35"/>
      <c r="V114" s="8" t="b">
        <f>IF(NOT(DB_TBL_DATA_FIELDS[[#This Row],[RANGE_VALIDATION_ON_FLAG]]),TRUE,
AND(DB_TBL_DATA_FIELDS[[#This Row],[RANGE_VALUE_LEN]]&gt;=DB_TBL_DATA_FIELDS[[#This Row],[RANGE_VALIDATION_MIN]],DB_TBL_DATA_FIELDS[[#This Row],[RANGE_VALUE_LEN]]&lt;=DB_TBL_DATA_FIELDS[[#This Row],[RANGE_VALIDATION_MAX]]))</f>
        <v>1</v>
      </c>
      <c r="W114" s="8">
        <v>1</v>
      </c>
      <c r="X114" s="8">
        <f ca="1">IF(DB_TBL_DATA_FIELDS[[#This Row],[PCT_CALC_SHOW_STATUS_CODE]]=1,
DB_TBL_DATA_FIELDS[[#This Row],[FIELD_STATUS_CODE]],
IF(AND(DB_TBL_DATA_FIELDS[[#This Row],[PCT_CALC_SHOW_STATUS_CODE]]=2,DB_TBL_DATA_FIELDS[[#This Row],[FIELD_STATUS_CODE]]=0),
DB_TBL_DATA_FIELDS[[#This Row],[FIELD_STATUS_CODE]],
"")
)</f>
        <v>1</v>
      </c>
      <c r="Y114" s="8"/>
      <c r="Z114" s="12" t="s">
        <v>2817</v>
      </c>
      <c r="AA114" s="12" t="s">
        <v>2460</v>
      </c>
      <c r="AB114" s="12" t="s">
        <v>2767</v>
      </c>
      <c r="AC114" s="12"/>
      <c r="AD114" s="12"/>
      <c r="AE114" s="8" t="s">
        <v>2797</v>
      </c>
    </row>
    <row r="115" spans="1:31" x14ac:dyDescent="0.3">
      <c r="A115" s="12" t="s">
        <v>2771</v>
      </c>
      <c r="B115" s="8" t="str">
        <f>IFERROR(IF(FIND(DATA_EFORM_TYPE_CODE,DB_TBL_DATA_FIELDS[[#This Row],[APPLICABLE_EFORM_LIST]])&gt;0,DATA_EFORM_TYPE_CODE,""),"")</f>
        <v>AHEAD</v>
      </c>
      <c r="C115" s="4" t="s">
        <v>2808</v>
      </c>
      <c r="D115" s="4" t="b">
        <v>1</v>
      </c>
      <c r="E115" s="26" t="b">
        <v>1</v>
      </c>
      <c r="F115" s="6" t="s">
        <v>2813</v>
      </c>
      <c r="G115" s="12" t="str">
        <f ca="1">IFERROR(VLOOKUP(DB_TBL_DATA_FIELDS[[#This Row],[FIELD_ID]],INDIRECT(DB_TBL_DATA_FIELDS[[#This Row],[SHEET_REF_CALC]]&amp;"!A:B"),2,FALSE),"")</f>
        <v/>
      </c>
      <c r="H115" s="12"/>
      <c r="I115" s="6" t="b">
        <f ca="1">(DB_TBL_DATA_FIELDS[[#This Row],[FIELD_VALUE_RAW]]="")</f>
        <v>1</v>
      </c>
      <c r="J115" s="6" t="s">
        <v>168</v>
      </c>
      <c r="K115" s="8" t="b">
        <f>AND(IF(DB_TBL_DATA_FIELDS[[#This Row],[FIELD_VALID_CUSTOM_LOGIC]]="",TRUE,DB_TBL_DATA_FIELDS[[#This Row],[FIELD_VALID_CUSTOM_LOGIC]]),DB_TBL_DATA_FIELDS[[#This Row],[RANGE_VALIDATION_PASSED_FLAG]])</f>
        <v>1</v>
      </c>
      <c r="L115" s="1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15" s="328">
        <f ca="1">IF(DB_TBL_DATA_FIELDS[[#This Row],[SHEET_REF_CALC]]="","",IF(DB_TBL_DATA_FIELDS[[#This Row],[FIELD_EMPTY_FLAG]],IF(NOT(DB_TBL_DATA_FIELDS[[#This Row],[FIELD_REQ_FLAG]]),-1,1),IF(NOT(DB_TBL_DATA_FIELDS[[#This Row],[FIELD_VALID_FLAG]]),0,2)))</f>
        <v>1</v>
      </c>
      <c r="N115" s="8" t="str">
        <f ca="1">IFERROR(VLOOKUP(DB_TBL_DATA_FIELDS[[#This Row],[FIELD_STATUS_CODE]],DB_TBL_CONFIG_FIELDSTATUSCODES[#All],3,FALSE),"")</f>
        <v>Required</v>
      </c>
      <c r="O115" s="8" t="str">
        <f ca="1">IFERROR(VLOOKUP(DB_TBL_DATA_FIELDS[[#This Row],[FIELD_STATUS_CODE]],DB_TBL_CONFIG_FIELDSTATUSCODES[#All],4,FALSE),"")</f>
        <v>i</v>
      </c>
      <c r="P115" s="8" t="b">
        <f>TRUE</f>
        <v>1</v>
      </c>
      <c r="Q115" s="7" t="b">
        <v>0</v>
      </c>
      <c r="R115" s="4"/>
      <c r="S115" s="8">
        <f ca="1">IF(DB_TBL_DATA_FIELDS[[#This Row],[RANGE_VALIDATION_FLAG]]="Text",LEN(DB_TBL_DATA_FIELDS[[#This Row],[FIELD_VALUE_RAW]]),IFERROR(VALUE(DB_TBL_DATA_FIELDS[[#This Row],[FIELD_VALUE_RAW]]),-1))</f>
        <v>-1</v>
      </c>
      <c r="T115" s="8"/>
      <c r="U115" s="35"/>
      <c r="V115" s="8" t="b">
        <f>IF(NOT(DB_TBL_DATA_FIELDS[[#This Row],[RANGE_VALIDATION_ON_FLAG]]),TRUE,
AND(DB_TBL_DATA_FIELDS[[#This Row],[RANGE_VALUE_LEN]]&gt;=DB_TBL_DATA_FIELDS[[#This Row],[RANGE_VALIDATION_MIN]],DB_TBL_DATA_FIELDS[[#This Row],[RANGE_VALUE_LEN]]&lt;=DB_TBL_DATA_FIELDS[[#This Row],[RANGE_VALIDATION_MAX]]))</f>
        <v>1</v>
      </c>
      <c r="W115" s="8">
        <v>1</v>
      </c>
      <c r="X115" s="8">
        <f ca="1">IF(DB_TBL_DATA_FIELDS[[#This Row],[PCT_CALC_SHOW_STATUS_CODE]]=1,
DB_TBL_DATA_FIELDS[[#This Row],[FIELD_STATUS_CODE]],
IF(AND(DB_TBL_DATA_FIELDS[[#This Row],[PCT_CALC_SHOW_STATUS_CODE]]=2,DB_TBL_DATA_FIELDS[[#This Row],[FIELD_STATUS_CODE]]=0),
DB_TBL_DATA_FIELDS[[#This Row],[FIELD_STATUS_CODE]],
"")
)</f>
        <v>1</v>
      </c>
      <c r="Y115" s="8"/>
      <c r="Z115" s="12" t="s">
        <v>2817</v>
      </c>
      <c r="AA115" s="12" t="s">
        <v>2460</v>
      </c>
      <c r="AB115" s="12" t="s">
        <v>2767</v>
      </c>
      <c r="AC115" s="12"/>
      <c r="AD115" s="12"/>
      <c r="AE115" s="8" t="s">
        <v>2797</v>
      </c>
    </row>
    <row r="116" spans="1:31" x14ac:dyDescent="0.3">
      <c r="A116" s="321" t="s">
        <v>2771</v>
      </c>
      <c r="B116" s="321" t="str">
        <f>IFERROR(IF(FIND(DATA_EFORM_TYPE_CODE,DB_TBL_DATA_FIELDS[[#This Row],[APPLICABLE_EFORM_LIST]])&gt;0,DATA_EFORM_TYPE_CODE,""),"")</f>
        <v>AHEAD</v>
      </c>
      <c r="C116" s="203" t="s">
        <v>2809</v>
      </c>
      <c r="D116" s="203" t="b">
        <v>1</v>
      </c>
      <c r="E116" s="204" t="b">
        <v>0</v>
      </c>
      <c r="F116" s="205" t="s">
        <v>2814</v>
      </c>
      <c r="G116" s="206" t="str">
        <f ca="1">IFERROR(VLOOKUP(DB_TBL_DATA_FIELDS[[#This Row],[FIELD_ID]],INDIRECT(DB_TBL_DATA_FIELDS[[#This Row],[SHEET_REF_CALC]]&amp;"!A:B"),2,FALSE),"")</f>
        <v/>
      </c>
      <c r="H116" s="206"/>
      <c r="I116" s="205" t="b">
        <f ca="1">(DB_TBL_DATA_FIELDS[[#This Row],[FIELD_VALUE_RAW]]="")</f>
        <v>1</v>
      </c>
      <c r="J116" s="205" t="s">
        <v>168</v>
      </c>
      <c r="K116" s="207" t="b">
        <f>AND(IF(DB_TBL_DATA_FIELDS[[#This Row],[FIELD_VALID_CUSTOM_LOGIC]]="",TRUE,DB_TBL_DATA_FIELDS[[#This Row],[FIELD_VALID_CUSTOM_LOGIC]]),DB_TBL_DATA_FIELDS[[#This Row],[RANGE_VALIDATION_PASSED_FLAG]])</f>
        <v>1</v>
      </c>
      <c r="L116" s="206"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16" s="332">
        <f ca="1">IF(DB_TBL_DATA_FIELDS[[#This Row],[SHEET_REF_CALC]]="","",IF(DB_TBL_DATA_FIELDS[[#This Row],[FIELD_EMPTY_FLAG]],IF(NOT(DB_TBL_DATA_FIELDS[[#This Row],[FIELD_REQ_FLAG]]),-1,1),IF(NOT(DB_TBL_DATA_FIELDS[[#This Row],[FIELD_VALID_FLAG]]),0,2)))</f>
        <v>-1</v>
      </c>
      <c r="N116" s="207" t="str">
        <f ca="1">IFERROR(VLOOKUP(DB_TBL_DATA_FIELDS[[#This Row],[FIELD_STATUS_CODE]],DB_TBL_CONFIG_FIELDSTATUSCODES[#All],3,FALSE),"")</f>
        <v>Optional</v>
      </c>
      <c r="O116" s="207" t="str">
        <f ca="1">IFERROR(VLOOKUP(DB_TBL_DATA_FIELDS[[#This Row],[FIELD_STATUS_CODE]],DB_TBL_CONFIG_FIELDSTATUSCODES[#All],4,FALSE),"")</f>
        <v xml:space="preserve"> </v>
      </c>
      <c r="P116" s="207" t="b">
        <f>TRUE</f>
        <v>1</v>
      </c>
      <c r="Q116" s="207" t="b">
        <v>0</v>
      </c>
      <c r="R116" s="203"/>
      <c r="S116" s="207">
        <f ca="1">IF(DB_TBL_DATA_FIELDS[[#This Row],[RANGE_VALIDATION_FLAG]]="Text",LEN(DB_TBL_DATA_FIELDS[[#This Row],[FIELD_VALUE_RAW]]),IFERROR(VALUE(DB_TBL_DATA_FIELDS[[#This Row],[FIELD_VALUE_RAW]]),-1))</f>
        <v>-1</v>
      </c>
      <c r="T116" s="207"/>
      <c r="U116" s="207"/>
      <c r="V116" s="207" t="b">
        <f>IF(NOT(DB_TBL_DATA_FIELDS[[#This Row],[RANGE_VALIDATION_ON_FLAG]]),TRUE,
AND(DB_TBL_DATA_FIELDS[[#This Row],[RANGE_VALUE_LEN]]&gt;=DB_TBL_DATA_FIELDS[[#This Row],[RANGE_VALIDATION_MIN]],DB_TBL_DATA_FIELDS[[#This Row],[RANGE_VALUE_LEN]]&lt;=DB_TBL_DATA_FIELDS[[#This Row],[RANGE_VALIDATION_MAX]]))</f>
        <v>1</v>
      </c>
      <c r="W116" s="202">
        <v>1</v>
      </c>
      <c r="X116" s="202">
        <f ca="1">IF(DB_TBL_DATA_FIELDS[[#This Row],[PCT_CALC_SHOW_STATUS_CODE]]=1,
DB_TBL_DATA_FIELDS[[#This Row],[FIELD_STATUS_CODE]],
IF(AND(DB_TBL_DATA_FIELDS[[#This Row],[PCT_CALC_SHOW_STATUS_CODE]]=2,DB_TBL_DATA_FIELDS[[#This Row],[FIELD_STATUS_CODE]]=0),
DB_TBL_DATA_FIELDS[[#This Row],[FIELD_STATUS_CODE]],
"")
)</f>
        <v>-1</v>
      </c>
      <c r="Y116" s="202"/>
      <c r="Z116" s="206" t="s">
        <v>2817</v>
      </c>
      <c r="AA116" s="206" t="s">
        <v>2460</v>
      </c>
      <c r="AB116" s="206" t="s">
        <v>2767</v>
      </c>
      <c r="AC116" s="206"/>
      <c r="AD116" s="206"/>
      <c r="AE116" s="207" t="s">
        <v>2861</v>
      </c>
    </row>
    <row r="117" spans="1:31" ht="13.5" thickBot="1" x14ac:dyDescent="0.35">
      <c r="A117" s="62" t="s">
        <v>2771</v>
      </c>
      <c r="B117" s="58" t="str">
        <f>IFERROR(IF(FIND(DATA_EFORM_TYPE_CODE,DB_TBL_DATA_FIELDS[[#This Row],[APPLICABLE_EFORM_LIST]])&gt;0,DATA_EFORM_TYPE_CODE,""),"")</f>
        <v>AHEAD</v>
      </c>
      <c r="C117" s="57" t="s">
        <v>2810</v>
      </c>
      <c r="D117" s="57" t="b">
        <v>1</v>
      </c>
      <c r="E117" s="242" t="b">
        <f ca="1">COUNTIF(G113:G116,TRUE)&gt;0</f>
        <v>0</v>
      </c>
      <c r="F117" s="61" t="s">
        <v>2815</v>
      </c>
      <c r="G117" s="62" t="str">
        <f ca="1">IFERROR(VLOOKUP(DB_TBL_DATA_FIELDS[[#This Row],[FIELD_ID]],INDIRECT(DB_TBL_DATA_FIELDS[[#This Row],[SHEET_REF_CALC]]&amp;"!A:B"),2,FALSE),"")</f>
        <v/>
      </c>
      <c r="H117" s="64" t="str">
        <f ca="1">IF(DB_TBL_DATA_FIELDS[[#This Row],[FIELD_EMPTY_FLAG]],"",DB_TBL_DATA_FIELDS[[#This Row],[FIELD_REQ_FLAG]])</f>
        <v/>
      </c>
      <c r="I117" s="61" t="b">
        <f ca="1">(DB_TBL_DATA_FIELDS[[#This Row],[FIELD_VALUE_RAW]]="")</f>
        <v>1</v>
      </c>
      <c r="J117" s="61" t="s">
        <v>9</v>
      </c>
      <c r="K117" s="58" t="b">
        <f ca="1">AND(IF(DB_TBL_DATA_FIELDS[[#This Row],[FIELD_VALID_CUSTOM_LOGIC]]="",TRUE,DB_TBL_DATA_FIELDS[[#This Row],[FIELD_VALID_CUSTOM_LOGIC]]),DB_TBL_DATA_FIELDS[[#This Row],[RANGE_VALIDATION_PASSED_FLAG]])</f>
        <v>1</v>
      </c>
      <c r="L117" s="6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17" s="329">
        <f ca="1">IF(DB_TBL_DATA_FIELDS[[#This Row],[SHEET_REF_CALC]]="","",IF(DB_TBL_DATA_FIELDS[[#This Row],[FIELD_EMPTY_FLAG]],IF(NOT(DB_TBL_DATA_FIELDS[[#This Row],[FIELD_REQ_FLAG]]),-1,1),IF(NOT(DB_TBL_DATA_FIELDS[[#This Row],[FIELD_VALID_FLAG]]),0,2)))</f>
        <v>-1</v>
      </c>
      <c r="N117" s="58" t="str">
        <f ca="1">IFERROR(VLOOKUP(DB_TBL_DATA_FIELDS[[#This Row],[FIELD_STATUS_CODE]],DB_TBL_CONFIG_FIELDSTATUSCODES[#All],3,FALSE),"")</f>
        <v>Optional</v>
      </c>
      <c r="O117" s="58" t="str">
        <f ca="1">IFERROR(VLOOKUP(DB_TBL_DATA_FIELDS[[#This Row],[FIELD_STATUS_CODE]],DB_TBL_CONFIG_FIELDSTATUSCODES[#All],4,FALSE),"")</f>
        <v xml:space="preserve"> </v>
      </c>
      <c r="P117" s="58" t="b">
        <f>TRUE</f>
        <v>1</v>
      </c>
      <c r="Q117" s="58" t="b">
        <f>TRUE</f>
        <v>1</v>
      </c>
      <c r="R117" s="57" t="s">
        <v>9</v>
      </c>
      <c r="S117" s="58">
        <f ca="1">IF(DB_TBL_DATA_FIELDS[[#This Row],[RANGE_VALIDATION_FLAG]]="Text",LEN(DB_TBL_DATA_FIELDS[[#This Row],[FIELD_VALUE_RAW]]),IFERROR(VALUE(DB_TBL_DATA_FIELDS[[#This Row],[FIELD_VALUE_RAW]]),-1))</f>
        <v>0</v>
      </c>
      <c r="T117" s="58">
        <v>0</v>
      </c>
      <c r="U117" s="74">
        <f>CONFIG_CHAR_LIMIT_SMALL</f>
        <v>1000</v>
      </c>
      <c r="V117" s="58" t="b">
        <f ca="1">IF(NOT(DB_TBL_DATA_FIELDS[[#This Row],[RANGE_VALIDATION_ON_FLAG]]),TRUE,
AND(DB_TBL_DATA_FIELDS[[#This Row],[RANGE_VALUE_LEN]]&gt;=DB_TBL_DATA_FIELDS[[#This Row],[RANGE_VALIDATION_MIN]],DB_TBL_DATA_FIELDS[[#This Row],[RANGE_VALUE_LEN]]&lt;=DB_TBL_DATA_FIELDS[[#This Row],[RANGE_VALIDATION_MAX]]))</f>
        <v>1</v>
      </c>
      <c r="W117" s="58">
        <v>1</v>
      </c>
      <c r="X117" s="58">
        <f ca="1">IF(DB_TBL_DATA_FIELDS[[#This Row],[PCT_CALC_SHOW_STATUS_CODE]]=1,
DB_TBL_DATA_FIELDS[[#This Row],[FIELD_STATUS_CODE]],
IF(AND(DB_TBL_DATA_FIELDS[[#This Row],[PCT_CALC_SHOW_STATUS_CODE]]=2,DB_TBL_DATA_FIELDS[[#This Row],[FIELD_STATUS_CODE]]=0),
DB_TBL_DATA_FIELDS[[#This Row],[FIELD_STATUS_CODE]],
"")
)</f>
        <v>-1</v>
      </c>
      <c r="Y117" s="58"/>
      <c r="Z117" s="62" t="s">
        <v>2817</v>
      </c>
      <c r="AA117" s="62" t="s">
        <v>2460</v>
      </c>
      <c r="AB117" s="62" t="s">
        <v>2767</v>
      </c>
      <c r="AC117" s="62"/>
      <c r="AD117" s="62"/>
      <c r="AE117" s="58" t="s">
        <v>2797</v>
      </c>
    </row>
    <row r="118" spans="1:31" x14ac:dyDescent="0.3">
      <c r="A118" s="10" t="s">
        <v>2790</v>
      </c>
      <c r="B118" s="7" t="str">
        <f>IFERROR(IF(FIND(DATA_EFORM_TYPE_CODE,DB_TBL_DATA_FIELDS[[#This Row],[APPLICABLE_EFORM_LIST]])&gt;0,DATA_EFORM_TYPE_CODE,""),"")</f>
        <v>AHEAD</v>
      </c>
      <c r="C118" s="1" t="s">
        <v>2556</v>
      </c>
      <c r="D118" s="4" t="b">
        <v>0</v>
      </c>
      <c r="E118" s="24" t="b">
        <v>1</v>
      </c>
      <c r="F118" s="2" t="s">
        <v>2557</v>
      </c>
      <c r="G118" s="10" t="str">
        <f ca="1">IFERROR(VLOOKUP(DB_TBL_DATA_FIELDS[[#This Row],[FIELD_ID]],INDIRECT(DB_TBL_DATA_FIELDS[[#This Row],[SHEET_REF_CALC]]&amp;"!A:B"),2,FALSE),"")</f>
        <v/>
      </c>
      <c r="H118" s="10"/>
      <c r="I118" s="2" t="b">
        <f ca="1">(DB_TBL_DATA_FIELDS[[#This Row],[FIELD_VALUE_RAW]]="")</f>
        <v>1</v>
      </c>
      <c r="J118" s="6" t="s">
        <v>168</v>
      </c>
      <c r="K118" s="7" t="b">
        <f>AND(IF(DB_TBL_DATA_FIELDS[[#This Row],[FIELD_VALID_CUSTOM_LOGIC]]="",TRUE,DB_TBL_DATA_FIELDS[[#This Row],[FIELD_VALID_CUSTOM_LOGIC]]),DB_TBL_DATA_FIELDS[[#This Row],[RANGE_VALIDATION_PASSED_FLAG]])</f>
        <v>1</v>
      </c>
      <c r="L118"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18" s="326">
        <f ca="1">IF(DB_TBL_DATA_FIELDS[[#This Row],[SHEET_REF_CALC]]="","",IF(DB_TBL_DATA_FIELDS[[#This Row],[FIELD_EMPTY_FLAG]],IF(NOT(DB_TBL_DATA_FIELDS[[#This Row],[FIELD_REQ_FLAG]]),-1,1),IF(NOT(DB_TBL_DATA_FIELDS[[#This Row],[FIELD_VALID_FLAG]]),0,2)))</f>
        <v>1</v>
      </c>
      <c r="N118" s="7" t="str">
        <f ca="1">IFERROR(VLOOKUP(DB_TBL_DATA_FIELDS[[#This Row],[FIELD_STATUS_CODE]],DB_TBL_CONFIG_FIELDSTATUSCODES[#All],3,FALSE),"")</f>
        <v>Required</v>
      </c>
      <c r="O118" s="7" t="str">
        <f ca="1">IFERROR(VLOOKUP(DB_TBL_DATA_FIELDS[[#This Row],[FIELD_STATUS_CODE]],DB_TBL_CONFIG_FIELDSTATUSCODES[#All],4,FALSE),"")</f>
        <v>i</v>
      </c>
      <c r="P118" s="7" t="b">
        <f>TRUE</f>
        <v>1</v>
      </c>
      <c r="Q118" s="7" t="b">
        <v>0</v>
      </c>
      <c r="S118" s="7">
        <f ca="1">IF(DB_TBL_DATA_FIELDS[[#This Row],[RANGE_VALIDATION_FLAG]]="Text",LEN(DB_TBL_DATA_FIELDS[[#This Row],[FIELD_VALUE_RAW]]),IFERROR(VALUE(DB_TBL_DATA_FIELDS[[#This Row],[FIELD_VALUE_RAW]]),-1))</f>
        <v>-1</v>
      </c>
      <c r="T118" s="7"/>
      <c r="U118" s="7"/>
      <c r="V118" s="7" t="b">
        <f>IF(NOT(DB_TBL_DATA_FIELDS[[#This Row],[RANGE_VALIDATION_ON_FLAG]]),TRUE,
AND(DB_TBL_DATA_FIELDS[[#This Row],[RANGE_VALUE_LEN]]&gt;=DB_TBL_DATA_FIELDS[[#This Row],[RANGE_VALIDATION_MIN]],DB_TBL_DATA_FIELDS[[#This Row],[RANGE_VALUE_LEN]]&lt;=DB_TBL_DATA_FIELDS[[#This Row],[RANGE_VALIDATION_MAX]]))</f>
        <v>1</v>
      </c>
      <c r="W118" s="7">
        <v>1</v>
      </c>
      <c r="X118" s="7">
        <f ca="1">IF(DB_TBL_DATA_FIELDS[[#This Row],[PCT_CALC_SHOW_STATUS_CODE]]=1,
DB_TBL_DATA_FIELDS[[#This Row],[FIELD_STATUS_CODE]],
IF(AND(DB_TBL_DATA_FIELDS[[#This Row],[PCT_CALC_SHOW_STATUS_CODE]]=2,DB_TBL_DATA_FIELDS[[#This Row],[FIELD_STATUS_CODE]]=0),
DB_TBL_DATA_FIELDS[[#This Row],[FIELD_STATUS_CODE]],
"")
)</f>
        <v>1</v>
      </c>
      <c r="Y118" s="7"/>
      <c r="Z118" s="10" t="s">
        <v>2558</v>
      </c>
      <c r="AA118" s="12" t="s">
        <v>2559</v>
      </c>
      <c r="AB118" s="12"/>
      <c r="AC118" s="12"/>
      <c r="AD118" s="12"/>
      <c r="AE118" s="7"/>
    </row>
    <row r="119" spans="1:31" x14ac:dyDescent="0.3">
      <c r="A119" s="10" t="s">
        <v>2790</v>
      </c>
      <c r="B119" s="7" t="str">
        <f>IFERROR(IF(FIND(DATA_EFORM_TYPE_CODE,DB_TBL_DATA_FIELDS[[#This Row],[APPLICABLE_EFORM_LIST]])&gt;0,DATA_EFORM_TYPE_CODE,""),"")</f>
        <v>AHEAD</v>
      </c>
      <c r="C119" s="1" t="s">
        <v>2560</v>
      </c>
      <c r="D119" s="1" t="b">
        <v>0</v>
      </c>
      <c r="E119" s="24" t="b">
        <v>1</v>
      </c>
      <c r="F119" s="2" t="s">
        <v>2561</v>
      </c>
      <c r="G119" s="10" t="str">
        <f ca="1">IFERROR(VLOOKUP(DB_TBL_DATA_FIELDS[[#This Row],[FIELD_ID]],INDIRECT(DB_TBL_DATA_FIELDS[[#This Row],[SHEET_REF_CALC]]&amp;"!A:B"),2,FALSE),"")</f>
        <v/>
      </c>
      <c r="H119" s="10"/>
      <c r="I119" s="2" t="b">
        <f ca="1">(DB_TBL_DATA_FIELDS[[#This Row],[FIELD_VALUE_RAW]]="")</f>
        <v>1</v>
      </c>
      <c r="J119" s="2" t="s">
        <v>9</v>
      </c>
      <c r="K119" s="7" t="b">
        <f ca="1">AND(IF(DB_TBL_DATA_FIELDS[[#This Row],[FIELD_VALID_CUSTOM_LOGIC]]="",TRUE,DB_TBL_DATA_FIELDS[[#This Row],[FIELD_VALID_CUSTOM_LOGIC]]),DB_TBL_DATA_FIELDS[[#This Row],[RANGE_VALIDATION_PASSED_FLAG]])</f>
        <v>1</v>
      </c>
      <c r="L119"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19" s="326">
        <f ca="1">IF(DB_TBL_DATA_FIELDS[[#This Row],[SHEET_REF_CALC]]="","",IF(DB_TBL_DATA_FIELDS[[#This Row],[FIELD_EMPTY_FLAG]],IF(NOT(DB_TBL_DATA_FIELDS[[#This Row],[FIELD_REQ_FLAG]]),-1,1),IF(NOT(DB_TBL_DATA_FIELDS[[#This Row],[FIELD_VALID_FLAG]]),0,2)))</f>
        <v>1</v>
      </c>
      <c r="N119" s="7" t="str">
        <f ca="1">IFERROR(VLOOKUP(DB_TBL_DATA_FIELDS[[#This Row],[FIELD_STATUS_CODE]],DB_TBL_CONFIG_FIELDSTATUSCODES[#All],3,FALSE),"")</f>
        <v>Required</v>
      </c>
      <c r="O119" s="7" t="str">
        <f ca="1">IFERROR(VLOOKUP(DB_TBL_DATA_FIELDS[[#This Row],[FIELD_STATUS_CODE]],DB_TBL_CONFIG_FIELDSTATUSCODES[#All],4,FALSE),"")</f>
        <v>i</v>
      </c>
      <c r="P119" s="7" t="b">
        <f>TRUE</f>
        <v>1</v>
      </c>
      <c r="Q119" s="7" t="b">
        <f>TRUE</f>
        <v>1</v>
      </c>
      <c r="R119" s="1" t="s">
        <v>9</v>
      </c>
      <c r="S119" s="7">
        <f ca="1">IF(DB_TBL_DATA_FIELDS[[#This Row],[RANGE_VALIDATION_FLAG]]="Text",LEN(DB_TBL_DATA_FIELDS[[#This Row],[FIELD_VALUE_RAW]]),IFERROR(VALUE(DB_TBL_DATA_FIELDS[[#This Row],[FIELD_VALUE_RAW]]),-1))</f>
        <v>0</v>
      </c>
      <c r="T119" s="7">
        <v>0</v>
      </c>
      <c r="U119" s="198">
        <f>CONFIG_CHAR_LIMIT_SMALL</f>
        <v>1000</v>
      </c>
      <c r="V119" s="7" t="b">
        <f ca="1">IF(NOT(DB_TBL_DATA_FIELDS[[#This Row],[RANGE_VALIDATION_ON_FLAG]]),TRUE,
AND(DB_TBL_DATA_FIELDS[[#This Row],[RANGE_VALUE_LEN]]&gt;=DB_TBL_DATA_FIELDS[[#This Row],[RANGE_VALIDATION_MIN]],DB_TBL_DATA_FIELDS[[#This Row],[RANGE_VALUE_LEN]]&lt;=DB_TBL_DATA_FIELDS[[#This Row],[RANGE_VALIDATION_MAX]]))</f>
        <v>1</v>
      </c>
      <c r="W119" s="7">
        <v>1</v>
      </c>
      <c r="X119" s="7">
        <f ca="1">IF(DB_TBL_DATA_FIELDS[[#This Row],[PCT_CALC_SHOW_STATUS_CODE]]=1,
DB_TBL_DATA_FIELDS[[#This Row],[FIELD_STATUS_CODE]],
IF(AND(DB_TBL_DATA_FIELDS[[#This Row],[PCT_CALC_SHOW_STATUS_CODE]]=2,DB_TBL_DATA_FIELDS[[#This Row],[FIELD_STATUS_CODE]]=0),
DB_TBL_DATA_FIELDS[[#This Row],[FIELD_STATUS_CODE]],
"")
)</f>
        <v>1</v>
      </c>
      <c r="Y119" s="7"/>
      <c r="Z119" s="10" t="s">
        <v>2562</v>
      </c>
      <c r="AA119" s="10" t="s">
        <v>2559</v>
      </c>
      <c r="AB119" s="10"/>
      <c r="AC119" s="10"/>
      <c r="AD119" s="10"/>
      <c r="AE119" s="7"/>
    </row>
    <row r="120" spans="1:31" x14ac:dyDescent="0.3">
      <c r="A120" s="10" t="s">
        <v>2790</v>
      </c>
      <c r="B120" s="7" t="str">
        <f>IFERROR(IF(FIND(DATA_EFORM_TYPE_CODE,DB_TBL_DATA_FIELDS[[#This Row],[APPLICABLE_EFORM_LIST]])&gt;0,DATA_EFORM_TYPE_CODE,""),"")</f>
        <v>AHEAD</v>
      </c>
      <c r="C120" s="1" t="s">
        <v>2563</v>
      </c>
      <c r="D120" s="4" t="b">
        <v>1</v>
      </c>
      <c r="E120" s="24" t="b">
        <v>0</v>
      </c>
      <c r="F120" s="2" t="s">
        <v>2566</v>
      </c>
      <c r="G120" s="10" t="b">
        <f ca="1">IFERROR(VLOOKUP(DB_TBL_DATA_FIELDS[[#This Row],[FIELD_ID]],INDIRECT(DB_TBL_DATA_FIELDS[[#This Row],[SHEET_REF_CALC]]&amp;"!A:B"),2,FALSE),"")</f>
        <v>0</v>
      </c>
      <c r="H120" s="10"/>
      <c r="I120" s="2" t="b">
        <f ca="1">(DB_TBL_DATA_FIELDS[[#This Row],[FIELD_VALUE_RAW]]="")</f>
        <v>0</v>
      </c>
      <c r="J120" s="2" t="s">
        <v>168</v>
      </c>
      <c r="K120" s="7" t="b">
        <f>AND(IF(DB_TBL_DATA_FIELDS[[#This Row],[FIELD_VALID_CUSTOM_LOGIC]]="",TRUE,DB_TBL_DATA_FIELDS[[#This Row],[FIELD_VALID_CUSTOM_LOGIC]]),DB_TBL_DATA_FIELDS[[#This Row],[RANGE_VALIDATION_PASSED_FLAG]])</f>
        <v>1</v>
      </c>
      <c r="L120"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N</v>
      </c>
      <c r="M120" s="326">
        <f ca="1">IF(DB_TBL_DATA_FIELDS[[#This Row],[SHEET_REF_CALC]]="","",IF(DB_TBL_DATA_FIELDS[[#This Row],[FIELD_EMPTY_FLAG]],IF(NOT(DB_TBL_DATA_FIELDS[[#This Row],[FIELD_REQ_FLAG]]),-1,1),IF(NOT(DB_TBL_DATA_FIELDS[[#This Row],[FIELD_VALID_FLAG]]),0,2)))</f>
        <v>2</v>
      </c>
      <c r="N120" s="7" t="str">
        <f ca="1">IFERROR(VLOOKUP(DB_TBL_DATA_FIELDS[[#This Row],[FIELD_STATUS_CODE]],DB_TBL_CONFIG_FIELDSTATUSCODES[#All],3,FALSE),"")</f>
        <v>OK</v>
      </c>
      <c r="O120" s="7" t="str">
        <f ca="1">IFERROR(VLOOKUP(DB_TBL_DATA_FIELDS[[#This Row],[FIELD_STATUS_CODE]],DB_TBL_CONFIG_FIELDSTATUSCODES[#All],4,FALSE),"")</f>
        <v>a</v>
      </c>
      <c r="P120" s="7" t="b">
        <f>TRUE</f>
        <v>1</v>
      </c>
      <c r="Q120" s="7" t="b">
        <v>0</v>
      </c>
      <c r="S120" s="7">
        <f ca="1">IF(DB_TBL_DATA_FIELDS[[#This Row],[RANGE_VALIDATION_FLAG]]="Text",LEN(DB_TBL_DATA_FIELDS[[#This Row],[FIELD_VALUE_RAW]]),IFERROR(VALUE(DB_TBL_DATA_FIELDS[[#This Row],[FIELD_VALUE_RAW]]),-1))</f>
        <v>-1</v>
      </c>
      <c r="T120" s="7"/>
      <c r="U120" s="7"/>
      <c r="V120" s="7" t="b">
        <f>IF(NOT(DB_TBL_DATA_FIELDS[[#This Row],[RANGE_VALIDATION_ON_FLAG]]),TRUE,
AND(DB_TBL_DATA_FIELDS[[#This Row],[RANGE_VALUE_LEN]]&gt;=DB_TBL_DATA_FIELDS[[#This Row],[RANGE_VALIDATION_MIN]],DB_TBL_DATA_FIELDS[[#This Row],[RANGE_VALUE_LEN]]&lt;=DB_TBL_DATA_FIELDS[[#This Row],[RANGE_VALIDATION_MAX]]))</f>
        <v>1</v>
      </c>
      <c r="W120" s="7">
        <v>0</v>
      </c>
      <c r="X120" s="7" t="str">
        <f ca="1">IF(DB_TBL_DATA_FIELDS[[#This Row],[PCT_CALC_SHOW_STATUS_CODE]]=1,
DB_TBL_DATA_FIELDS[[#This Row],[FIELD_STATUS_CODE]],
IF(AND(DB_TBL_DATA_FIELDS[[#This Row],[PCT_CALC_SHOW_STATUS_CODE]]=2,DB_TBL_DATA_FIELDS[[#This Row],[FIELD_STATUS_CODE]]=0),
DB_TBL_DATA_FIELDS[[#This Row],[FIELD_STATUS_CODE]],
"")
)</f>
        <v/>
      </c>
      <c r="Y120" s="7"/>
      <c r="Z120" s="10" t="s">
        <v>2569</v>
      </c>
      <c r="AA120" s="10" t="s">
        <v>2559</v>
      </c>
      <c r="AB120" s="10" t="s">
        <v>2563</v>
      </c>
      <c r="AC120" s="10" t="s">
        <v>2656</v>
      </c>
      <c r="AD120" s="10"/>
      <c r="AE120" s="7"/>
    </row>
    <row r="121" spans="1:31" x14ac:dyDescent="0.3">
      <c r="A121" s="10" t="s">
        <v>2790</v>
      </c>
      <c r="B121" s="7" t="str">
        <f>IFERROR(IF(FIND(DATA_EFORM_TYPE_CODE,DB_TBL_DATA_FIELDS[[#This Row],[APPLICABLE_EFORM_LIST]])&gt;0,DATA_EFORM_TYPE_CODE,""),"")</f>
        <v>AHEAD</v>
      </c>
      <c r="C121" s="1" t="s">
        <v>2636</v>
      </c>
      <c r="D121" s="4" t="b">
        <v>1</v>
      </c>
      <c r="E121" s="199" t="b">
        <f ca="1">IF(OTHER_GRANT_FLG=TRUE,TRUE,FALSE)</f>
        <v>0</v>
      </c>
      <c r="F121" s="2" t="s">
        <v>2570</v>
      </c>
      <c r="G121" s="10" t="str">
        <f ca="1">IFERROR(VLOOKUP(DB_TBL_DATA_FIELDS[[#This Row],[FIELD_ID]],INDIRECT(DB_TBL_DATA_FIELDS[[#This Row],[SHEET_REF_CALC]]&amp;"!A:B"),2,FALSE),"")</f>
        <v/>
      </c>
      <c r="H121" s="44" t="str">
        <f ca="1">IF(DB_TBL_DATA_FIELDS[[#This Row],[FIELD_EMPTY_FLAG]],"",DB_TBL_DATA_FIELDS[[#This Row],[FIELD_REQ_FLAG]])</f>
        <v/>
      </c>
      <c r="I121" s="2" t="b">
        <f ca="1">(DB_TBL_DATA_FIELDS[[#This Row],[FIELD_VALUE_RAW]]="")</f>
        <v>1</v>
      </c>
      <c r="J121" s="2" t="s">
        <v>40</v>
      </c>
      <c r="K121" s="7" t="b">
        <f ca="1">AND(IF(DB_TBL_DATA_FIELDS[[#This Row],[FIELD_VALID_CUSTOM_LOGIC]]="",TRUE,DB_TBL_DATA_FIELDS[[#This Row],[FIELD_VALID_CUSTOM_LOGIC]]),DB_TBL_DATA_FIELDS[[#This Row],[RANGE_VALIDATION_PASSED_FLAG]])</f>
        <v>0</v>
      </c>
      <c r="L121"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21" s="326">
        <f ca="1">IF(DB_TBL_DATA_FIELDS[[#This Row],[SHEET_REF_CALC]]="","",IF(DB_TBL_DATA_FIELDS[[#This Row],[FIELD_EMPTY_FLAG]],IF(NOT(DB_TBL_DATA_FIELDS[[#This Row],[FIELD_REQ_FLAG]]),-1,1),IF(NOT(DB_TBL_DATA_FIELDS[[#This Row],[FIELD_VALID_FLAG]]),0,2)))</f>
        <v>-1</v>
      </c>
      <c r="N121" s="7" t="str">
        <f ca="1">IFERROR(VLOOKUP(DB_TBL_DATA_FIELDS[[#This Row],[FIELD_STATUS_CODE]],DB_TBL_CONFIG_FIELDSTATUSCODES[#All],3,FALSE),"")</f>
        <v>Optional</v>
      </c>
      <c r="O121" s="7" t="str">
        <f ca="1">IFERROR(VLOOKUP(DB_TBL_DATA_FIELDS[[#This Row],[FIELD_STATUS_CODE]],DB_TBL_CONFIG_FIELDSTATUSCODES[#All],4,FALSE),"")</f>
        <v xml:space="preserve"> </v>
      </c>
      <c r="P121" s="7" t="b">
        <f>TRUE</f>
        <v>1</v>
      </c>
      <c r="Q121" s="7" t="b">
        <f>TRUE</f>
        <v>1</v>
      </c>
      <c r="R121" s="1" t="s">
        <v>40</v>
      </c>
      <c r="S121" s="7">
        <f ca="1">IF(DB_TBL_DATA_FIELDS[[#This Row],[RANGE_VALIDATION_FLAG]]="Text",LEN(DB_TBL_DATA_FIELDS[[#This Row],[FIELD_VALUE_RAW]]),IFERROR(VALUE(DB_TBL_DATA_FIELDS[[#This Row],[FIELD_VALUE_RAW]]),-1))</f>
        <v>-1</v>
      </c>
      <c r="T121" s="7">
        <v>0</v>
      </c>
      <c r="U121" s="8">
        <v>999999999999</v>
      </c>
      <c r="V121" s="7" t="b">
        <f ca="1">IF(NOT(DB_TBL_DATA_FIELDS[[#This Row],[RANGE_VALIDATION_ON_FLAG]]),TRUE,
AND(DB_TBL_DATA_FIELDS[[#This Row],[RANGE_VALUE_LEN]]&gt;=DB_TBL_DATA_FIELDS[[#This Row],[RANGE_VALIDATION_MIN]],DB_TBL_DATA_FIELDS[[#This Row],[RANGE_VALUE_LEN]]&lt;=DB_TBL_DATA_FIELDS[[#This Row],[RANGE_VALIDATION_MAX]]))</f>
        <v>0</v>
      </c>
      <c r="W121" s="7">
        <v>1</v>
      </c>
      <c r="X121" s="7">
        <f ca="1">IF(DB_TBL_DATA_FIELDS[[#This Row],[PCT_CALC_SHOW_STATUS_CODE]]=1,
DB_TBL_DATA_FIELDS[[#This Row],[FIELD_STATUS_CODE]],
IF(AND(DB_TBL_DATA_FIELDS[[#This Row],[PCT_CALC_SHOW_STATUS_CODE]]=2,DB_TBL_DATA_FIELDS[[#This Row],[FIELD_STATUS_CODE]]=0),
DB_TBL_DATA_FIELDS[[#This Row],[FIELD_STATUS_CODE]],
"")
)</f>
        <v>-1</v>
      </c>
      <c r="Y121" s="7"/>
      <c r="Z121" s="10" t="s">
        <v>2571</v>
      </c>
      <c r="AA121" s="10" t="s">
        <v>2559</v>
      </c>
      <c r="AB121" s="10" t="s">
        <v>2636</v>
      </c>
      <c r="AC121" s="10" t="s">
        <v>2654</v>
      </c>
      <c r="AD121" s="10"/>
      <c r="AE121" s="7"/>
    </row>
    <row r="122" spans="1:31" x14ac:dyDescent="0.3">
      <c r="A122" s="10" t="s">
        <v>2790</v>
      </c>
      <c r="B122" s="7" t="str">
        <f>IFERROR(IF(FIND(DATA_EFORM_TYPE_CODE,DB_TBL_DATA_FIELDS[[#This Row],[APPLICABLE_EFORM_LIST]])&gt;0,DATA_EFORM_TYPE_CODE,""),"")</f>
        <v>AHEAD</v>
      </c>
      <c r="C122" s="1" t="s">
        <v>2564</v>
      </c>
      <c r="D122" s="4" t="b">
        <v>1</v>
      </c>
      <c r="E122" s="24" t="b">
        <v>0</v>
      </c>
      <c r="F122" s="2" t="s">
        <v>2567</v>
      </c>
      <c r="G122" s="10" t="b">
        <f ca="1">IFERROR(VLOOKUP(DB_TBL_DATA_FIELDS[[#This Row],[FIELD_ID]],INDIRECT(DB_TBL_DATA_FIELDS[[#This Row],[SHEET_REF_CALC]]&amp;"!A:B"),2,FALSE),"")</f>
        <v>0</v>
      </c>
      <c r="H122" s="10"/>
      <c r="I122" s="2" t="b">
        <f ca="1">(DB_TBL_DATA_FIELDS[[#This Row],[FIELD_VALUE_RAW]]="")</f>
        <v>0</v>
      </c>
      <c r="J122" s="2" t="s">
        <v>168</v>
      </c>
      <c r="K122" s="7" t="b">
        <f>AND(IF(DB_TBL_DATA_FIELDS[[#This Row],[FIELD_VALID_CUSTOM_LOGIC]]="",TRUE,DB_TBL_DATA_FIELDS[[#This Row],[FIELD_VALID_CUSTOM_LOGIC]]),DB_TBL_DATA_FIELDS[[#This Row],[RANGE_VALIDATION_PASSED_FLAG]])</f>
        <v>1</v>
      </c>
      <c r="L122"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N</v>
      </c>
      <c r="M122" s="326">
        <f ca="1">IF(DB_TBL_DATA_FIELDS[[#This Row],[SHEET_REF_CALC]]="","",IF(DB_TBL_DATA_FIELDS[[#This Row],[FIELD_EMPTY_FLAG]],IF(NOT(DB_TBL_DATA_FIELDS[[#This Row],[FIELD_REQ_FLAG]]),-1,1),IF(NOT(DB_TBL_DATA_FIELDS[[#This Row],[FIELD_VALID_FLAG]]),0,2)))</f>
        <v>2</v>
      </c>
      <c r="N122" s="7" t="str">
        <f ca="1">IFERROR(VLOOKUP(DB_TBL_DATA_FIELDS[[#This Row],[FIELD_STATUS_CODE]],DB_TBL_CONFIG_FIELDSTATUSCODES[#All],3,FALSE),"")</f>
        <v>OK</v>
      </c>
      <c r="O122" s="7" t="str">
        <f ca="1">IFERROR(VLOOKUP(DB_TBL_DATA_FIELDS[[#This Row],[FIELD_STATUS_CODE]],DB_TBL_CONFIG_FIELDSTATUSCODES[#All],4,FALSE),"")</f>
        <v>a</v>
      </c>
      <c r="P122" s="7" t="b">
        <f>TRUE</f>
        <v>1</v>
      </c>
      <c r="Q122" s="7" t="b">
        <v>0</v>
      </c>
      <c r="S122" s="7">
        <f ca="1">IF(DB_TBL_DATA_FIELDS[[#This Row],[RANGE_VALIDATION_FLAG]]="Text",LEN(DB_TBL_DATA_FIELDS[[#This Row],[FIELD_VALUE_RAW]]),IFERROR(VALUE(DB_TBL_DATA_FIELDS[[#This Row],[FIELD_VALUE_RAW]]),-1))</f>
        <v>-1</v>
      </c>
      <c r="T122" s="7"/>
      <c r="U122" s="7"/>
      <c r="V122" s="7" t="b">
        <f>IF(NOT(DB_TBL_DATA_FIELDS[[#This Row],[RANGE_VALIDATION_ON_FLAG]]),TRUE,
AND(DB_TBL_DATA_FIELDS[[#This Row],[RANGE_VALUE_LEN]]&gt;=DB_TBL_DATA_FIELDS[[#This Row],[RANGE_VALIDATION_MIN]],DB_TBL_DATA_FIELDS[[#This Row],[RANGE_VALUE_LEN]]&lt;=DB_TBL_DATA_FIELDS[[#This Row],[RANGE_VALIDATION_MAX]]))</f>
        <v>1</v>
      </c>
      <c r="W122" s="7">
        <v>0</v>
      </c>
      <c r="X122" s="7" t="str">
        <f ca="1">IF(DB_TBL_DATA_FIELDS[[#This Row],[PCT_CALC_SHOW_STATUS_CODE]]=1,
DB_TBL_DATA_FIELDS[[#This Row],[FIELD_STATUS_CODE]],
IF(AND(DB_TBL_DATA_FIELDS[[#This Row],[PCT_CALC_SHOW_STATUS_CODE]]=2,DB_TBL_DATA_FIELDS[[#This Row],[FIELD_STATUS_CODE]]=0),
DB_TBL_DATA_FIELDS[[#This Row],[FIELD_STATUS_CODE]],
"")
)</f>
        <v/>
      </c>
      <c r="Y122" s="7"/>
      <c r="Z122" s="10" t="s">
        <v>2569</v>
      </c>
      <c r="AA122" s="10" t="s">
        <v>2559</v>
      </c>
      <c r="AB122" s="10" t="s">
        <v>2564</v>
      </c>
      <c r="AC122" s="10" t="s">
        <v>2656</v>
      </c>
      <c r="AD122" s="10"/>
      <c r="AE122" s="7"/>
    </row>
    <row r="123" spans="1:31" x14ac:dyDescent="0.3">
      <c r="A123" s="10" t="s">
        <v>2790</v>
      </c>
      <c r="B123" s="7" t="str">
        <f>IFERROR(IF(FIND(DATA_EFORM_TYPE_CODE,DB_TBL_DATA_FIELDS[[#This Row],[APPLICABLE_EFORM_LIST]])&gt;0,DATA_EFORM_TYPE_CODE,""),"")</f>
        <v>AHEAD</v>
      </c>
      <c r="C123" s="1" t="s">
        <v>2637</v>
      </c>
      <c r="D123" s="4" t="b">
        <v>1</v>
      </c>
      <c r="E123" s="199" t="b">
        <f ca="1">IF(OTHER_LOAN_FLG=TRUE,TRUE,FALSE)</f>
        <v>0</v>
      </c>
      <c r="F123" s="2" t="s">
        <v>2572</v>
      </c>
      <c r="G123" s="10" t="str">
        <f ca="1">IFERROR(VLOOKUP(DB_TBL_DATA_FIELDS[[#This Row],[FIELD_ID]],INDIRECT(DB_TBL_DATA_FIELDS[[#This Row],[SHEET_REF_CALC]]&amp;"!A:B"),2,FALSE),"")</f>
        <v/>
      </c>
      <c r="H123" s="44" t="str">
        <f ca="1">IF(DB_TBL_DATA_FIELDS[[#This Row],[FIELD_EMPTY_FLAG]],"",DB_TBL_DATA_FIELDS[[#This Row],[FIELD_REQ_FLAG]])</f>
        <v/>
      </c>
      <c r="I123" s="2" t="b">
        <f ca="1">(DB_TBL_DATA_FIELDS[[#This Row],[FIELD_VALUE_RAW]]="")</f>
        <v>1</v>
      </c>
      <c r="J123" s="2" t="s">
        <v>40</v>
      </c>
      <c r="K123" s="7" t="b">
        <f ca="1">AND(IF(DB_TBL_DATA_FIELDS[[#This Row],[FIELD_VALID_CUSTOM_LOGIC]]="",TRUE,DB_TBL_DATA_FIELDS[[#This Row],[FIELD_VALID_CUSTOM_LOGIC]]),DB_TBL_DATA_FIELDS[[#This Row],[RANGE_VALIDATION_PASSED_FLAG]])</f>
        <v>0</v>
      </c>
      <c r="L123"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23" s="326">
        <f ca="1">IF(DB_TBL_DATA_FIELDS[[#This Row],[SHEET_REF_CALC]]="","",IF(DB_TBL_DATA_FIELDS[[#This Row],[FIELD_EMPTY_FLAG]],IF(NOT(DB_TBL_DATA_FIELDS[[#This Row],[FIELD_REQ_FLAG]]),-1,1),IF(NOT(DB_TBL_DATA_FIELDS[[#This Row],[FIELD_VALID_FLAG]]),0,2)))</f>
        <v>-1</v>
      </c>
      <c r="N123" s="7" t="str">
        <f ca="1">IFERROR(VLOOKUP(DB_TBL_DATA_FIELDS[[#This Row],[FIELD_STATUS_CODE]],DB_TBL_CONFIG_FIELDSTATUSCODES[#All],3,FALSE),"")</f>
        <v>Optional</v>
      </c>
      <c r="O123" s="7" t="str">
        <f ca="1">IFERROR(VLOOKUP(DB_TBL_DATA_FIELDS[[#This Row],[FIELD_STATUS_CODE]],DB_TBL_CONFIG_FIELDSTATUSCODES[#All],4,FALSE),"")</f>
        <v xml:space="preserve"> </v>
      </c>
      <c r="P123" s="7" t="b">
        <f>TRUE</f>
        <v>1</v>
      </c>
      <c r="Q123" s="7" t="b">
        <f>TRUE</f>
        <v>1</v>
      </c>
      <c r="R123" s="1" t="s">
        <v>40</v>
      </c>
      <c r="S123" s="7">
        <f ca="1">IF(DB_TBL_DATA_FIELDS[[#This Row],[RANGE_VALIDATION_FLAG]]="Text",LEN(DB_TBL_DATA_FIELDS[[#This Row],[FIELD_VALUE_RAW]]),IFERROR(VALUE(DB_TBL_DATA_FIELDS[[#This Row],[FIELD_VALUE_RAW]]),-1))</f>
        <v>-1</v>
      </c>
      <c r="T123" s="7">
        <v>0</v>
      </c>
      <c r="U123" s="8">
        <v>999999999999</v>
      </c>
      <c r="V123" s="7" t="b">
        <f ca="1">IF(NOT(DB_TBL_DATA_FIELDS[[#This Row],[RANGE_VALIDATION_ON_FLAG]]),TRUE,
AND(DB_TBL_DATA_FIELDS[[#This Row],[RANGE_VALUE_LEN]]&gt;=DB_TBL_DATA_FIELDS[[#This Row],[RANGE_VALIDATION_MIN]],DB_TBL_DATA_FIELDS[[#This Row],[RANGE_VALUE_LEN]]&lt;=DB_TBL_DATA_FIELDS[[#This Row],[RANGE_VALIDATION_MAX]]))</f>
        <v>0</v>
      </c>
      <c r="W123" s="7">
        <v>1</v>
      </c>
      <c r="X123" s="7">
        <f ca="1">IF(DB_TBL_DATA_FIELDS[[#This Row],[PCT_CALC_SHOW_STATUS_CODE]]=1,
DB_TBL_DATA_FIELDS[[#This Row],[FIELD_STATUS_CODE]],
IF(AND(DB_TBL_DATA_FIELDS[[#This Row],[PCT_CALC_SHOW_STATUS_CODE]]=2,DB_TBL_DATA_FIELDS[[#This Row],[FIELD_STATUS_CODE]]=0),
DB_TBL_DATA_FIELDS[[#This Row],[FIELD_STATUS_CODE]],
"")
)</f>
        <v>-1</v>
      </c>
      <c r="Y123" s="7"/>
      <c r="Z123" s="10" t="s">
        <v>2573</v>
      </c>
      <c r="AA123" s="10" t="s">
        <v>2559</v>
      </c>
      <c r="AB123" s="10" t="s">
        <v>2637</v>
      </c>
      <c r="AC123" s="10" t="s">
        <v>2654</v>
      </c>
      <c r="AD123" s="10"/>
      <c r="AE123" s="7"/>
    </row>
    <row r="124" spans="1:31" x14ac:dyDescent="0.3">
      <c r="A124" s="10" t="s">
        <v>2790</v>
      </c>
      <c r="B124" s="7" t="str">
        <f>IFERROR(IF(FIND(DATA_EFORM_TYPE_CODE,DB_TBL_DATA_FIELDS[[#This Row],[APPLICABLE_EFORM_LIST]])&gt;0,DATA_EFORM_TYPE_CODE,""),"")</f>
        <v>AHEAD</v>
      </c>
      <c r="C124" s="1" t="s">
        <v>2565</v>
      </c>
      <c r="D124" s="4" t="b">
        <v>1</v>
      </c>
      <c r="E124" s="24" t="b">
        <v>0</v>
      </c>
      <c r="F124" s="2" t="s">
        <v>2568</v>
      </c>
      <c r="G124" s="10" t="b">
        <f ca="1">IFERROR(VLOOKUP(DB_TBL_DATA_FIELDS[[#This Row],[FIELD_ID]],INDIRECT(DB_TBL_DATA_FIELDS[[#This Row],[SHEET_REF_CALC]]&amp;"!A:B"),2,FALSE),"")</f>
        <v>0</v>
      </c>
      <c r="H124" s="10"/>
      <c r="I124" s="2" t="b">
        <f ca="1">(DB_TBL_DATA_FIELDS[[#This Row],[FIELD_VALUE_RAW]]="")</f>
        <v>0</v>
      </c>
      <c r="J124" s="2" t="s">
        <v>168</v>
      </c>
      <c r="K124" s="7" t="b">
        <f>AND(IF(DB_TBL_DATA_FIELDS[[#This Row],[FIELD_VALID_CUSTOM_LOGIC]]="",TRUE,DB_TBL_DATA_FIELDS[[#This Row],[FIELD_VALID_CUSTOM_LOGIC]]),DB_TBL_DATA_FIELDS[[#This Row],[RANGE_VALIDATION_PASSED_FLAG]])</f>
        <v>1</v>
      </c>
      <c r="L124"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N</v>
      </c>
      <c r="M124" s="326">
        <f ca="1">IF(DB_TBL_DATA_FIELDS[[#This Row],[SHEET_REF_CALC]]="","",IF(DB_TBL_DATA_FIELDS[[#This Row],[FIELD_EMPTY_FLAG]],IF(NOT(DB_TBL_DATA_FIELDS[[#This Row],[FIELD_REQ_FLAG]]),-1,1),IF(NOT(DB_TBL_DATA_FIELDS[[#This Row],[FIELD_VALID_FLAG]]),0,2)))</f>
        <v>2</v>
      </c>
      <c r="N124" s="7" t="str">
        <f ca="1">IFERROR(VLOOKUP(DB_TBL_DATA_FIELDS[[#This Row],[FIELD_STATUS_CODE]],DB_TBL_CONFIG_FIELDSTATUSCODES[#All],3,FALSE),"")</f>
        <v>OK</v>
      </c>
      <c r="O124" s="7" t="str">
        <f ca="1">IFERROR(VLOOKUP(DB_TBL_DATA_FIELDS[[#This Row],[FIELD_STATUS_CODE]],DB_TBL_CONFIG_FIELDSTATUSCODES[#All],4,FALSE),"")</f>
        <v>a</v>
      </c>
      <c r="P124" s="7" t="b">
        <f>TRUE</f>
        <v>1</v>
      </c>
      <c r="Q124" s="7" t="b">
        <v>0</v>
      </c>
      <c r="S124" s="7">
        <f ca="1">IF(DB_TBL_DATA_FIELDS[[#This Row],[RANGE_VALIDATION_FLAG]]="Text",LEN(DB_TBL_DATA_FIELDS[[#This Row],[FIELD_VALUE_RAW]]),IFERROR(VALUE(DB_TBL_DATA_FIELDS[[#This Row],[FIELD_VALUE_RAW]]),-1))</f>
        <v>-1</v>
      </c>
      <c r="T124" s="7"/>
      <c r="U124" s="7"/>
      <c r="V124" s="7" t="b">
        <f>IF(NOT(DB_TBL_DATA_FIELDS[[#This Row],[RANGE_VALIDATION_ON_FLAG]]),TRUE,
AND(DB_TBL_DATA_FIELDS[[#This Row],[RANGE_VALUE_LEN]]&gt;=DB_TBL_DATA_FIELDS[[#This Row],[RANGE_VALIDATION_MIN]],DB_TBL_DATA_FIELDS[[#This Row],[RANGE_VALUE_LEN]]&lt;=DB_TBL_DATA_FIELDS[[#This Row],[RANGE_VALIDATION_MAX]]))</f>
        <v>1</v>
      </c>
      <c r="W124" s="7">
        <v>0</v>
      </c>
      <c r="X124" s="7" t="str">
        <f ca="1">IF(DB_TBL_DATA_FIELDS[[#This Row],[PCT_CALC_SHOW_STATUS_CODE]]=1,
DB_TBL_DATA_FIELDS[[#This Row],[FIELD_STATUS_CODE]],
IF(AND(DB_TBL_DATA_FIELDS[[#This Row],[PCT_CALC_SHOW_STATUS_CODE]]=2,DB_TBL_DATA_FIELDS[[#This Row],[FIELD_STATUS_CODE]]=0),
DB_TBL_DATA_FIELDS[[#This Row],[FIELD_STATUS_CODE]],
"")
)</f>
        <v/>
      </c>
      <c r="Y124" s="7"/>
      <c r="Z124" s="10" t="s">
        <v>2569</v>
      </c>
      <c r="AA124" s="10" t="s">
        <v>2559</v>
      </c>
      <c r="AB124" s="10" t="s">
        <v>2565</v>
      </c>
      <c r="AC124" s="10" t="s">
        <v>2656</v>
      </c>
      <c r="AD124" s="10"/>
      <c r="AE124" s="7"/>
    </row>
    <row r="125" spans="1:31" x14ac:dyDescent="0.3">
      <c r="A125" s="10" t="s">
        <v>2790</v>
      </c>
      <c r="B125" s="7" t="str">
        <f>IFERROR(IF(FIND(DATA_EFORM_TYPE_CODE,DB_TBL_DATA_FIELDS[[#This Row],[APPLICABLE_EFORM_LIST]])&gt;0,DATA_EFORM_TYPE_CODE,""),"")</f>
        <v>AHEAD</v>
      </c>
      <c r="C125" s="54" t="s">
        <v>2574</v>
      </c>
      <c r="D125" s="4" t="b">
        <v>1</v>
      </c>
      <c r="E125" s="199" t="b">
        <f ca="1">IF(OTHER_NON_FIN_INVOL_FLG=TRUE,TRUE,FALSE)</f>
        <v>0</v>
      </c>
      <c r="F125" s="2" t="s">
        <v>2575</v>
      </c>
      <c r="G125" s="10" t="str">
        <f ca="1">IFERROR(VLOOKUP(DB_TBL_DATA_FIELDS[[#This Row],[FIELD_ID]],INDIRECT(DB_TBL_DATA_FIELDS[[#This Row],[SHEET_REF_CALC]]&amp;"!A:B"),2,FALSE),"")</f>
        <v/>
      </c>
      <c r="H125" s="44" t="str">
        <f ca="1">IF(DB_TBL_DATA_FIELDS[[#This Row],[FIELD_EMPTY_FLAG]],"",DB_TBL_DATA_FIELDS[[#This Row],[FIELD_REQ_FLAG]])</f>
        <v/>
      </c>
      <c r="I125" s="2" t="b">
        <f ca="1">(DB_TBL_DATA_FIELDS[[#This Row],[FIELD_VALUE_RAW]]="")</f>
        <v>1</v>
      </c>
      <c r="J125" s="2" t="s">
        <v>9</v>
      </c>
      <c r="K125" s="7" t="b">
        <f ca="1">AND(IF(DB_TBL_DATA_FIELDS[[#This Row],[FIELD_VALID_CUSTOM_LOGIC]]="",TRUE,DB_TBL_DATA_FIELDS[[#This Row],[FIELD_VALID_CUSTOM_LOGIC]]),DB_TBL_DATA_FIELDS[[#This Row],[RANGE_VALIDATION_PASSED_FLAG]])</f>
        <v>1</v>
      </c>
      <c r="L125"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25" s="326">
        <f ca="1">IF(DB_TBL_DATA_FIELDS[[#This Row],[SHEET_REF_CALC]]="","",IF(DB_TBL_DATA_FIELDS[[#This Row],[FIELD_EMPTY_FLAG]],IF(NOT(DB_TBL_DATA_FIELDS[[#This Row],[FIELD_REQ_FLAG]]),-1,1),IF(NOT(DB_TBL_DATA_FIELDS[[#This Row],[FIELD_VALID_FLAG]]),0,2)))</f>
        <v>-1</v>
      </c>
      <c r="N125" s="7" t="str">
        <f ca="1">IFERROR(VLOOKUP(DB_TBL_DATA_FIELDS[[#This Row],[FIELD_STATUS_CODE]],DB_TBL_CONFIG_FIELDSTATUSCODES[#All],3,FALSE),"")</f>
        <v>Optional</v>
      </c>
      <c r="O125" s="7" t="str">
        <f ca="1">IFERROR(VLOOKUP(DB_TBL_DATA_FIELDS[[#This Row],[FIELD_STATUS_CODE]],DB_TBL_CONFIG_FIELDSTATUSCODES[#All],4,FALSE),"")</f>
        <v xml:space="preserve"> </v>
      </c>
      <c r="P125" s="7" t="b">
        <f>TRUE</f>
        <v>1</v>
      </c>
      <c r="Q125" s="7" t="b">
        <f>TRUE</f>
        <v>1</v>
      </c>
      <c r="R125" s="1" t="s">
        <v>9</v>
      </c>
      <c r="S125" s="7">
        <f ca="1">IF(DB_TBL_DATA_FIELDS[[#This Row],[RANGE_VALIDATION_FLAG]]="Text",LEN(DB_TBL_DATA_FIELDS[[#This Row],[FIELD_VALUE_RAW]]),IFERROR(VALUE(DB_TBL_DATA_FIELDS[[#This Row],[FIELD_VALUE_RAW]]),-1))</f>
        <v>0</v>
      </c>
      <c r="T125" s="7">
        <v>0</v>
      </c>
      <c r="U125" s="200">
        <v>200</v>
      </c>
      <c r="V125" s="7" t="b">
        <f ca="1">IF(NOT(DB_TBL_DATA_FIELDS[[#This Row],[RANGE_VALIDATION_ON_FLAG]]),TRUE,
AND(DB_TBL_DATA_FIELDS[[#This Row],[RANGE_VALUE_LEN]]&gt;=DB_TBL_DATA_FIELDS[[#This Row],[RANGE_VALIDATION_MIN]],DB_TBL_DATA_FIELDS[[#This Row],[RANGE_VALUE_LEN]]&lt;=DB_TBL_DATA_FIELDS[[#This Row],[RANGE_VALIDATION_MAX]]))</f>
        <v>1</v>
      </c>
      <c r="W125" s="7">
        <v>1</v>
      </c>
      <c r="X125" s="7">
        <f ca="1">IF(DB_TBL_DATA_FIELDS[[#This Row],[PCT_CALC_SHOW_STATUS_CODE]]=1,
DB_TBL_DATA_FIELDS[[#This Row],[FIELD_STATUS_CODE]],
IF(AND(DB_TBL_DATA_FIELDS[[#This Row],[PCT_CALC_SHOW_STATUS_CODE]]=2,DB_TBL_DATA_FIELDS[[#This Row],[FIELD_STATUS_CODE]]=0),
DB_TBL_DATA_FIELDS[[#This Row],[FIELD_STATUS_CODE]],
"")
)</f>
        <v>-1</v>
      </c>
      <c r="Y125" s="7"/>
      <c r="Z125" s="10" t="s">
        <v>2635</v>
      </c>
      <c r="AA125" s="10" t="s">
        <v>2559</v>
      </c>
      <c r="AB125" s="10" t="s">
        <v>2574</v>
      </c>
      <c r="AC125" s="10" t="s">
        <v>2661</v>
      </c>
      <c r="AD125" s="10"/>
      <c r="AE125" s="7" t="s">
        <v>2577</v>
      </c>
    </row>
    <row r="126" spans="1:31" x14ac:dyDescent="0.3">
      <c r="A126" s="10" t="s">
        <v>2790</v>
      </c>
      <c r="B126" s="7" t="str">
        <f>IFERROR(IF(FIND(DATA_EFORM_TYPE_CODE,DB_TBL_DATA_FIELDS[[#This Row],[APPLICABLE_EFORM_LIST]])&gt;0,DATA_EFORM_TYPE_CODE,""),"")</f>
        <v>AHEAD</v>
      </c>
      <c r="C126" s="1" t="s">
        <v>2578</v>
      </c>
      <c r="D126" s="1" t="b">
        <v>0</v>
      </c>
      <c r="E126" s="24" t="b">
        <v>0</v>
      </c>
      <c r="F126" s="2" t="s">
        <v>2582</v>
      </c>
      <c r="G126" s="10" t="str">
        <f ca="1">IFERROR(VLOOKUP(DB_TBL_DATA_FIELDS[[#This Row],[FIELD_ID]],INDIRECT(DB_TBL_DATA_FIELDS[[#This Row],[SHEET_REF_CALC]]&amp;"!A:B"),2,FALSE),"")</f>
        <v/>
      </c>
      <c r="H126" s="10"/>
      <c r="I126" s="2" t="b">
        <f ca="1">(DB_TBL_DATA_FIELDS[[#This Row],[FIELD_VALUE_RAW]]="")</f>
        <v>1</v>
      </c>
      <c r="J126" s="2" t="s">
        <v>9</v>
      </c>
      <c r="K126" s="7" t="b">
        <f ca="1">AND(IF(DB_TBL_DATA_FIELDS[[#This Row],[FIELD_VALID_CUSTOM_LOGIC]]="",TRUE,DB_TBL_DATA_FIELDS[[#This Row],[FIELD_VALID_CUSTOM_LOGIC]]),DB_TBL_DATA_FIELDS[[#This Row],[RANGE_VALIDATION_PASSED_FLAG]])</f>
        <v>1</v>
      </c>
      <c r="L126"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26" s="326">
        <f ca="1">IF(DB_TBL_DATA_FIELDS[[#This Row],[SHEET_REF_CALC]]="","",IF(DB_TBL_DATA_FIELDS[[#This Row],[FIELD_EMPTY_FLAG]],IF(NOT(DB_TBL_DATA_FIELDS[[#This Row],[FIELD_REQ_FLAG]]),-1,1),IF(NOT(DB_TBL_DATA_FIELDS[[#This Row],[FIELD_VALID_FLAG]]),0,2)))</f>
        <v>-1</v>
      </c>
      <c r="N126" s="7" t="str">
        <f ca="1">IFERROR(VLOOKUP(DB_TBL_DATA_FIELDS[[#This Row],[FIELD_STATUS_CODE]],DB_TBL_CONFIG_FIELDSTATUSCODES[#All],3,FALSE),"")</f>
        <v>Optional</v>
      </c>
      <c r="O126" s="7" t="str">
        <f ca="1">IFERROR(VLOOKUP(DB_TBL_DATA_FIELDS[[#This Row],[FIELD_STATUS_CODE]],DB_TBL_CONFIG_FIELDSTATUSCODES[#All],4,FALSE),"")</f>
        <v xml:space="preserve"> </v>
      </c>
      <c r="P126" s="7" t="b">
        <f>TRUE</f>
        <v>1</v>
      </c>
      <c r="Q126" s="7" t="b">
        <f>TRUE</f>
        <v>1</v>
      </c>
      <c r="R126" s="1" t="s">
        <v>9</v>
      </c>
      <c r="S126" s="7">
        <f ca="1">IF(DB_TBL_DATA_FIELDS[[#This Row],[RANGE_VALIDATION_FLAG]]="Text",LEN(DB_TBL_DATA_FIELDS[[#This Row],[FIELD_VALUE_RAW]]),IFERROR(VALUE(DB_TBL_DATA_FIELDS[[#This Row],[FIELD_VALUE_RAW]]),-1))</f>
        <v>0</v>
      </c>
      <c r="T126" s="7">
        <v>0</v>
      </c>
      <c r="U126" s="7">
        <v>200</v>
      </c>
      <c r="V126" s="7" t="b">
        <f ca="1">IF(NOT(DB_TBL_DATA_FIELDS[[#This Row],[RANGE_VALIDATION_ON_FLAG]]),TRUE,
AND(DB_TBL_DATA_FIELDS[[#This Row],[RANGE_VALUE_LEN]]&gt;=DB_TBL_DATA_FIELDS[[#This Row],[RANGE_VALIDATION_MIN]],DB_TBL_DATA_FIELDS[[#This Row],[RANGE_VALUE_LEN]]&lt;=DB_TBL_DATA_FIELDS[[#This Row],[RANGE_VALIDATION_MAX]]))</f>
        <v>1</v>
      </c>
      <c r="W126" s="7">
        <v>1</v>
      </c>
      <c r="X126" s="7">
        <f ca="1">IF(DB_TBL_DATA_FIELDS[[#This Row],[PCT_CALC_SHOW_STATUS_CODE]]=1,
DB_TBL_DATA_FIELDS[[#This Row],[FIELD_STATUS_CODE]],
IF(AND(DB_TBL_DATA_FIELDS[[#This Row],[PCT_CALC_SHOW_STATUS_CODE]]=2,DB_TBL_DATA_FIELDS[[#This Row],[FIELD_STATUS_CODE]]=0),
DB_TBL_DATA_FIELDS[[#This Row],[FIELD_STATUS_CODE]],
"")
)</f>
        <v>-1</v>
      </c>
      <c r="Y126" s="7"/>
      <c r="Z126" s="10" t="s">
        <v>2576</v>
      </c>
      <c r="AA126" s="10" t="s">
        <v>2559</v>
      </c>
      <c r="AB126" s="10"/>
      <c r="AC126" s="10"/>
      <c r="AD126" s="10"/>
      <c r="AE126" s="7"/>
    </row>
    <row r="127" spans="1:31" x14ac:dyDescent="0.3">
      <c r="A127" s="10" t="s">
        <v>2790</v>
      </c>
      <c r="B127" s="7" t="str">
        <f>IFERROR(IF(FIND(DATA_EFORM_TYPE_CODE,DB_TBL_DATA_FIELDS[[#This Row],[APPLICABLE_EFORM_LIST]])&gt;0,DATA_EFORM_TYPE_CODE,""),"")</f>
        <v>AHEAD</v>
      </c>
      <c r="C127" s="1" t="s">
        <v>2579</v>
      </c>
      <c r="D127" s="1" t="b">
        <v>0</v>
      </c>
      <c r="E127" s="199" t="b">
        <f ca="1">IF($I$126,FALSE,TRUE)</f>
        <v>0</v>
      </c>
      <c r="F127" s="2" t="s">
        <v>2583</v>
      </c>
      <c r="G127" s="10" t="str">
        <f ca="1">IFERROR(VLOOKUP(DB_TBL_DATA_FIELDS[[#This Row],[FIELD_ID]],INDIRECT(DB_TBL_DATA_FIELDS[[#This Row],[SHEET_REF_CALC]]&amp;"!A:B"),2,FALSE),"")</f>
        <v/>
      </c>
      <c r="H127" s="44" t="str">
        <f ca="1">IF(DB_TBL_DATA_FIELDS[[#This Row],[FIELD_EMPTY_FLAG]],"",DB_TBL_DATA_FIELDS[[#This Row],[FIELD_REQ_FLAG]])</f>
        <v/>
      </c>
      <c r="I127" s="2" t="b">
        <f ca="1">(DB_TBL_DATA_FIELDS[[#This Row],[FIELD_VALUE_RAW]]="")</f>
        <v>1</v>
      </c>
      <c r="J127" s="2" t="s">
        <v>40</v>
      </c>
      <c r="K127" s="7" t="b">
        <f ca="1">AND(IF(DB_TBL_DATA_FIELDS[[#This Row],[FIELD_VALID_CUSTOM_LOGIC]]="",TRUE,DB_TBL_DATA_FIELDS[[#This Row],[FIELD_VALID_CUSTOM_LOGIC]]),DB_TBL_DATA_FIELDS[[#This Row],[RANGE_VALIDATION_PASSED_FLAG]])</f>
        <v>0</v>
      </c>
      <c r="L127"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27" s="326">
        <f ca="1">IF(DB_TBL_DATA_FIELDS[[#This Row],[SHEET_REF_CALC]]="","",IF(DB_TBL_DATA_FIELDS[[#This Row],[FIELD_EMPTY_FLAG]],IF(NOT(DB_TBL_DATA_FIELDS[[#This Row],[FIELD_REQ_FLAG]]),-1,1),IF(NOT(DB_TBL_DATA_FIELDS[[#This Row],[FIELD_VALID_FLAG]]),0,2)))</f>
        <v>-1</v>
      </c>
      <c r="N127" s="7" t="str">
        <f ca="1">IFERROR(VLOOKUP(DB_TBL_DATA_FIELDS[[#This Row],[FIELD_STATUS_CODE]],DB_TBL_CONFIG_FIELDSTATUSCODES[#All],3,FALSE),"")</f>
        <v>Optional</v>
      </c>
      <c r="O127" s="7" t="str">
        <f ca="1">IFERROR(VLOOKUP(DB_TBL_DATA_FIELDS[[#This Row],[FIELD_STATUS_CODE]],DB_TBL_CONFIG_FIELDSTATUSCODES[#All],4,FALSE),"")</f>
        <v xml:space="preserve"> </v>
      </c>
      <c r="P127" s="7" t="b">
        <f>TRUE</f>
        <v>1</v>
      </c>
      <c r="Q127" s="7" t="b">
        <f>TRUE</f>
        <v>1</v>
      </c>
      <c r="R127" s="1" t="s">
        <v>40</v>
      </c>
      <c r="S127" s="7">
        <f ca="1">IF(DB_TBL_DATA_FIELDS[[#This Row],[RANGE_VALIDATION_FLAG]]="Text",LEN(DB_TBL_DATA_FIELDS[[#This Row],[FIELD_VALUE_RAW]]),IFERROR(VALUE(DB_TBL_DATA_FIELDS[[#This Row],[FIELD_VALUE_RAW]]),-1))</f>
        <v>-1</v>
      </c>
      <c r="T127" s="7">
        <v>0</v>
      </c>
      <c r="U127" s="8">
        <v>999999999999</v>
      </c>
      <c r="V127" s="7" t="b">
        <f ca="1">IF(NOT(DB_TBL_DATA_FIELDS[[#This Row],[RANGE_VALIDATION_ON_FLAG]]),TRUE,
AND(DB_TBL_DATA_FIELDS[[#This Row],[RANGE_VALUE_LEN]]&gt;=DB_TBL_DATA_FIELDS[[#This Row],[RANGE_VALIDATION_MIN]],DB_TBL_DATA_FIELDS[[#This Row],[RANGE_VALUE_LEN]]&lt;=DB_TBL_DATA_FIELDS[[#This Row],[RANGE_VALIDATION_MAX]]))</f>
        <v>0</v>
      </c>
      <c r="W127" s="7">
        <v>1</v>
      </c>
      <c r="X127" s="7">
        <f ca="1">IF(DB_TBL_DATA_FIELDS[[#This Row],[PCT_CALC_SHOW_STATUS_CODE]]=1,
DB_TBL_DATA_FIELDS[[#This Row],[FIELD_STATUS_CODE]],
IF(AND(DB_TBL_DATA_FIELDS[[#This Row],[PCT_CALC_SHOW_STATUS_CODE]]=2,DB_TBL_DATA_FIELDS[[#This Row],[FIELD_STATUS_CODE]]=0),
DB_TBL_DATA_FIELDS[[#This Row],[FIELD_STATUS_CODE]],
"")
)</f>
        <v>-1</v>
      </c>
      <c r="Y127" s="7"/>
      <c r="Z127" s="10" t="s">
        <v>2586</v>
      </c>
      <c r="AA127" s="10" t="s">
        <v>2559</v>
      </c>
      <c r="AB127" s="10"/>
      <c r="AC127" s="10"/>
      <c r="AD127" s="10"/>
      <c r="AE127" s="7"/>
    </row>
    <row r="128" spans="1:31" x14ac:dyDescent="0.3">
      <c r="A128" s="321" t="s">
        <v>2790</v>
      </c>
      <c r="B128" s="321" t="str">
        <f>IFERROR(IF(FIND(DATA_EFORM_TYPE_CODE,DB_TBL_DATA_FIELDS[[#This Row],[APPLICABLE_EFORM_LIST]])&gt;0,DATA_EFORM_TYPE_CODE,""),"")</f>
        <v>AHEAD</v>
      </c>
      <c r="C128" s="203" t="s">
        <v>2580</v>
      </c>
      <c r="D128" s="203" t="b">
        <v>0</v>
      </c>
      <c r="E128" s="204" t="b">
        <v>0</v>
      </c>
      <c r="F128" s="205" t="s">
        <v>2584</v>
      </c>
      <c r="G128" s="206" t="str">
        <f ca="1">IFERROR(VLOOKUP(DB_TBL_DATA_FIELDS[[#This Row],[FIELD_ID]],INDIRECT(DB_TBL_DATA_FIELDS[[#This Row],[SHEET_REF_CALC]]&amp;"!A:B"),2,FALSE),"")</f>
        <v/>
      </c>
      <c r="H128" s="206" t="str">
        <f ca="1">IF(DB_TBL_DATA_FIELDS[[#This Row],[FIELD_EMPTY_FLAG]],"",DB_TBL_DATA_FIELDS[[#This Row],[FIELD_REQ_FLAG]])</f>
        <v/>
      </c>
      <c r="I128" s="205" t="b">
        <f ca="1">(DB_TBL_DATA_FIELDS[[#This Row],[FIELD_VALUE_RAW]]="")</f>
        <v>1</v>
      </c>
      <c r="J128" s="205" t="s">
        <v>168</v>
      </c>
      <c r="K128" s="207" t="b">
        <f ca="1">AND(IF(DB_TBL_DATA_FIELDS[[#This Row],[FIELD_VALID_CUSTOM_LOGIC]]="",TRUE,DB_TBL_DATA_FIELDS[[#This Row],[FIELD_VALID_CUSTOM_LOGIC]]),DB_TBL_DATA_FIELDS[[#This Row],[RANGE_VALIDATION_PASSED_FLAG]])</f>
        <v>1</v>
      </c>
      <c r="L128" s="206"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28" s="332">
        <f ca="1">IF(DB_TBL_DATA_FIELDS[[#This Row],[SHEET_REF_CALC]]="","",IF(DB_TBL_DATA_FIELDS[[#This Row],[FIELD_EMPTY_FLAG]],IF(NOT(DB_TBL_DATA_FIELDS[[#This Row],[FIELD_REQ_FLAG]]),-1,1),IF(NOT(DB_TBL_DATA_FIELDS[[#This Row],[FIELD_VALID_FLAG]]),0,2)))</f>
        <v>-1</v>
      </c>
      <c r="N128" s="207" t="str">
        <f ca="1">IFERROR(VLOOKUP(DB_TBL_DATA_FIELDS[[#This Row],[FIELD_STATUS_CODE]],DB_TBL_CONFIG_FIELDSTATUSCODES[#All],3,FALSE),"")</f>
        <v>Optional</v>
      </c>
      <c r="O128" s="207" t="str">
        <f ca="1">IFERROR(VLOOKUP(DB_TBL_DATA_FIELDS[[#This Row],[FIELD_STATUS_CODE]],DB_TBL_CONFIG_FIELDSTATUSCODES[#All],4,FALSE),"")</f>
        <v xml:space="preserve"> </v>
      </c>
      <c r="P128" s="207" t="b">
        <f>TRUE</f>
        <v>1</v>
      </c>
      <c r="Q128" s="207" t="b">
        <v>0</v>
      </c>
      <c r="R128" s="203"/>
      <c r="S128" s="207">
        <f ca="1">IF(DB_TBL_DATA_FIELDS[[#This Row],[RANGE_VALIDATION_FLAG]]="Text",LEN(DB_TBL_DATA_FIELDS[[#This Row],[FIELD_VALUE_RAW]]),IFERROR(VALUE(DB_TBL_DATA_FIELDS[[#This Row],[FIELD_VALUE_RAW]]),-1))</f>
        <v>-1</v>
      </c>
      <c r="T128" s="207"/>
      <c r="U128" s="207"/>
      <c r="V128" s="207" t="b">
        <f>IF(NOT(DB_TBL_DATA_FIELDS[[#This Row],[RANGE_VALIDATION_ON_FLAG]]),TRUE,
AND(DB_TBL_DATA_FIELDS[[#This Row],[RANGE_VALUE_LEN]]&gt;=DB_TBL_DATA_FIELDS[[#This Row],[RANGE_VALIDATION_MIN]],DB_TBL_DATA_FIELDS[[#This Row],[RANGE_VALUE_LEN]]&lt;=DB_TBL_DATA_FIELDS[[#This Row],[RANGE_VALIDATION_MAX]]))</f>
        <v>1</v>
      </c>
      <c r="W128" s="202">
        <v>1</v>
      </c>
      <c r="X128" s="202">
        <f ca="1">IF(DB_TBL_DATA_FIELDS[[#This Row],[PCT_CALC_SHOW_STATUS_CODE]]=1,
DB_TBL_DATA_FIELDS[[#This Row],[FIELD_STATUS_CODE]],
IF(AND(DB_TBL_DATA_FIELDS[[#This Row],[PCT_CALC_SHOW_STATUS_CODE]]=2,DB_TBL_DATA_FIELDS[[#This Row],[FIELD_STATUS_CODE]]=0),
DB_TBL_DATA_FIELDS[[#This Row],[FIELD_STATUS_CODE]],
"")
)</f>
        <v>-1</v>
      </c>
      <c r="Y128" s="202"/>
      <c r="Z128" s="206" t="s">
        <v>2587</v>
      </c>
      <c r="AA128" s="206" t="s">
        <v>2559</v>
      </c>
      <c r="AB128" s="206"/>
      <c r="AC128" s="206"/>
      <c r="AD128" s="206"/>
      <c r="AE128" s="207" t="s">
        <v>2846</v>
      </c>
    </row>
    <row r="129" spans="1:31" x14ac:dyDescent="0.3">
      <c r="A129" s="10" t="s">
        <v>2790</v>
      </c>
      <c r="B129" s="7" t="str">
        <f>IFERROR(IF(FIND(DATA_EFORM_TYPE_CODE,DB_TBL_DATA_FIELDS[[#This Row],[APPLICABLE_EFORM_LIST]])&gt;0,DATA_EFORM_TYPE_CODE,""),"")</f>
        <v>AHEAD</v>
      </c>
      <c r="C129" s="1" t="s">
        <v>2581</v>
      </c>
      <c r="D129" s="1" t="b">
        <v>0</v>
      </c>
      <c r="E129" s="199" t="b">
        <f ca="1">IF($I$126,FALSE,TRUE)</f>
        <v>0</v>
      </c>
      <c r="F129" s="2" t="s">
        <v>2585</v>
      </c>
      <c r="G129" s="10" t="str">
        <f ca="1">IFERROR(VLOOKUP(DB_TBL_DATA_FIELDS[[#This Row],[FIELD_ID]],INDIRECT(DB_TBL_DATA_FIELDS[[#This Row],[SHEET_REF_CALC]]&amp;"!A:B"),2,FALSE),"")</f>
        <v/>
      </c>
      <c r="H129" s="44" t="str">
        <f ca="1">IF(DB_TBL_DATA_FIELDS[[#This Row],[FIELD_EMPTY_FLAG]],"",DB_TBL_DATA_FIELDS[[#This Row],[FIELD_REQ_FLAG]])</f>
        <v/>
      </c>
      <c r="I129" s="2" t="b">
        <f ca="1">(DB_TBL_DATA_FIELDS[[#This Row],[FIELD_VALUE_RAW]]="")</f>
        <v>1</v>
      </c>
      <c r="J129" s="2" t="s">
        <v>168</v>
      </c>
      <c r="K129" s="7" t="b">
        <f ca="1">AND(IF(DB_TBL_DATA_FIELDS[[#This Row],[FIELD_VALID_CUSTOM_LOGIC]]="",TRUE,DB_TBL_DATA_FIELDS[[#This Row],[FIELD_VALID_CUSTOM_LOGIC]]),DB_TBL_DATA_FIELDS[[#This Row],[RANGE_VALIDATION_PASSED_FLAG]])</f>
        <v>1</v>
      </c>
      <c r="L129"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29" s="326">
        <f ca="1">IF(DB_TBL_DATA_FIELDS[[#This Row],[SHEET_REF_CALC]]="","",IF(DB_TBL_DATA_FIELDS[[#This Row],[FIELD_EMPTY_FLAG]],IF(NOT(DB_TBL_DATA_FIELDS[[#This Row],[FIELD_REQ_FLAG]]),-1,1),IF(NOT(DB_TBL_DATA_FIELDS[[#This Row],[FIELD_VALID_FLAG]]),0,2)))</f>
        <v>-1</v>
      </c>
      <c r="N129" s="7" t="str">
        <f ca="1">IFERROR(VLOOKUP(DB_TBL_DATA_FIELDS[[#This Row],[FIELD_STATUS_CODE]],DB_TBL_CONFIG_FIELDSTATUSCODES[#All],3,FALSE),"")</f>
        <v>Optional</v>
      </c>
      <c r="O129" s="7" t="str">
        <f ca="1">IFERROR(VLOOKUP(DB_TBL_DATA_FIELDS[[#This Row],[FIELD_STATUS_CODE]],DB_TBL_CONFIG_FIELDSTATUSCODES[#All],4,FALSE),"")</f>
        <v xml:space="preserve"> </v>
      </c>
      <c r="P129" s="7" t="b">
        <f>TRUE</f>
        <v>1</v>
      </c>
      <c r="Q129" s="7" t="b">
        <v>0</v>
      </c>
      <c r="S129" s="7">
        <f ca="1">IF(DB_TBL_DATA_FIELDS[[#This Row],[RANGE_VALIDATION_FLAG]]="Text",LEN(DB_TBL_DATA_FIELDS[[#This Row],[FIELD_VALUE_RAW]]),IFERROR(VALUE(DB_TBL_DATA_FIELDS[[#This Row],[FIELD_VALUE_RAW]]),-1))</f>
        <v>-1</v>
      </c>
      <c r="T129" s="7"/>
      <c r="U129" s="7"/>
      <c r="V129" s="7" t="b">
        <f>IF(NOT(DB_TBL_DATA_FIELDS[[#This Row],[RANGE_VALIDATION_ON_FLAG]]),TRUE,
AND(DB_TBL_DATA_FIELDS[[#This Row],[RANGE_VALUE_LEN]]&gt;=DB_TBL_DATA_FIELDS[[#This Row],[RANGE_VALIDATION_MIN]],DB_TBL_DATA_FIELDS[[#This Row],[RANGE_VALUE_LEN]]&lt;=DB_TBL_DATA_FIELDS[[#This Row],[RANGE_VALIDATION_MAX]]))</f>
        <v>1</v>
      </c>
      <c r="W129" s="7">
        <v>1</v>
      </c>
      <c r="X129" s="7">
        <f ca="1">IF(DB_TBL_DATA_FIELDS[[#This Row],[PCT_CALC_SHOW_STATUS_CODE]]=1,
DB_TBL_DATA_FIELDS[[#This Row],[FIELD_STATUS_CODE]],
IF(AND(DB_TBL_DATA_FIELDS[[#This Row],[PCT_CALC_SHOW_STATUS_CODE]]=2,DB_TBL_DATA_FIELDS[[#This Row],[FIELD_STATUS_CODE]]=0),
DB_TBL_DATA_FIELDS[[#This Row],[FIELD_STATUS_CODE]],
"")
)</f>
        <v>-1</v>
      </c>
      <c r="Y129" s="7"/>
      <c r="Z129" s="10" t="s">
        <v>2588</v>
      </c>
      <c r="AA129" s="10" t="s">
        <v>2559</v>
      </c>
      <c r="AB129" s="10"/>
      <c r="AC129" s="10"/>
      <c r="AD129" s="10"/>
      <c r="AE129" s="7"/>
    </row>
    <row r="130" spans="1:31" x14ac:dyDescent="0.3">
      <c r="A130" s="10" t="s">
        <v>2790</v>
      </c>
      <c r="B130" s="7" t="str">
        <f>IFERROR(IF(FIND(DATA_EFORM_TYPE_CODE,DB_TBL_DATA_FIELDS[[#This Row],[APPLICABLE_EFORM_LIST]])&gt;0,DATA_EFORM_TYPE_CODE,""),"")</f>
        <v>AHEAD</v>
      </c>
      <c r="C130" s="1" t="s">
        <v>2589</v>
      </c>
      <c r="D130" s="1" t="b">
        <v>0</v>
      </c>
      <c r="E130" s="24" t="b">
        <v>0</v>
      </c>
      <c r="F130" s="2" t="s">
        <v>2582</v>
      </c>
      <c r="G130" s="10" t="str">
        <f ca="1">IFERROR(VLOOKUP(DB_TBL_DATA_FIELDS[[#This Row],[FIELD_ID]],INDIRECT(DB_TBL_DATA_FIELDS[[#This Row],[SHEET_REF_CALC]]&amp;"!A:B"),2,FALSE),"")</f>
        <v/>
      </c>
      <c r="H130" s="10"/>
      <c r="I130" s="2" t="b">
        <f ca="1">(DB_TBL_DATA_FIELDS[[#This Row],[FIELD_VALUE_RAW]]="")</f>
        <v>1</v>
      </c>
      <c r="J130" s="2" t="s">
        <v>9</v>
      </c>
      <c r="K130" s="7" t="b">
        <f ca="1">AND(IF(DB_TBL_DATA_FIELDS[[#This Row],[FIELD_VALID_CUSTOM_LOGIC]]="",TRUE,DB_TBL_DATA_FIELDS[[#This Row],[FIELD_VALID_CUSTOM_LOGIC]]),DB_TBL_DATA_FIELDS[[#This Row],[RANGE_VALIDATION_PASSED_FLAG]])</f>
        <v>1</v>
      </c>
      <c r="L130"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30" s="326">
        <f ca="1">IF(DB_TBL_DATA_FIELDS[[#This Row],[SHEET_REF_CALC]]="","",IF(DB_TBL_DATA_FIELDS[[#This Row],[FIELD_EMPTY_FLAG]],IF(NOT(DB_TBL_DATA_FIELDS[[#This Row],[FIELD_REQ_FLAG]]),-1,1),IF(NOT(DB_TBL_DATA_FIELDS[[#This Row],[FIELD_VALID_FLAG]]),0,2)))</f>
        <v>-1</v>
      </c>
      <c r="N130" s="7" t="str">
        <f ca="1">IFERROR(VLOOKUP(DB_TBL_DATA_FIELDS[[#This Row],[FIELD_STATUS_CODE]],DB_TBL_CONFIG_FIELDSTATUSCODES[#All],3,FALSE),"")</f>
        <v>Optional</v>
      </c>
      <c r="O130" s="7" t="str">
        <f ca="1">IFERROR(VLOOKUP(DB_TBL_DATA_FIELDS[[#This Row],[FIELD_STATUS_CODE]],DB_TBL_CONFIG_FIELDSTATUSCODES[#All],4,FALSE),"")</f>
        <v xml:space="preserve"> </v>
      </c>
      <c r="P130" s="7" t="b">
        <f>TRUE</f>
        <v>1</v>
      </c>
      <c r="Q130" s="7" t="b">
        <f>TRUE</f>
        <v>1</v>
      </c>
      <c r="R130" s="1" t="s">
        <v>9</v>
      </c>
      <c r="S130" s="7">
        <f ca="1">IF(DB_TBL_DATA_FIELDS[[#This Row],[RANGE_VALIDATION_FLAG]]="Text",LEN(DB_TBL_DATA_FIELDS[[#This Row],[FIELD_VALUE_RAW]]),IFERROR(VALUE(DB_TBL_DATA_FIELDS[[#This Row],[FIELD_VALUE_RAW]]),-1))</f>
        <v>0</v>
      </c>
      <c r="T130" s="7">
        <v>0</v>
      </c>
      <c r="U130" s="7">
        <v>200</v>
      </c>
      <c r="V130" s="7" t="b">
        <f ca="1">IF(NOT(DB_TBL_DATA_FIELDS[[#This Row],[RANGE_VALIDATION_ON_FLAG]]),TRUE,
AND(DB_TBL_DATA_FIELDS[[#This Row],[RANGE_VALUE_LEN]]&gt;=DB_TBL_DATA_FIELDS[[#This Row],[RANGE_VALIDATION_MIN]],DB_TBL_DATA_FIELDS[[#This Row],[RANGE_VALUE_LEN]]&lt;=DB_TBL_DATA_FIELDS[[#This Row],[RANGE_VALIDATION_MAX]]))</f>
        <v>1</v>
      </c>
      <c r="W130" s="7">
        <v>1</v>
      </c>
      <c r="X130" s="7">
        <f ca="1">IF(DB_TBL_DATA_FIELDS[[#This Row],[PCT_CALC_SHOW_STATUS_CODE]]=1,
DB_TBL_DATA_FIELDS[[#This Row],[FIELD_STATUS_CODE]],
IF(AND(DB_TBL_DATA_FIELDS[[#This Row],[PCT_CALC_SHOW_STATUS_CODE]]=2,DB_TBL_DATA_FIELDS[[#This Row],[FIELD_STATUS_CODE]]=0),
DB_TBL_DATA_FIELDS[[#This Row],[FIELD_STATUS_CODE]],
"")
)</f>
        <v>-1</v>
      </c>
      <c r="Y130" s="7"/>
      <c r="Z130" s="10" t="s">
        <v>2601</v>
      </c>
      <c r="AA130" s="10" t="s">
        <v>2559</v>
      </c>
      <c r="AB130" s="10"/>
      <c r="AC130" s="10"/>
      <c r="AD130" s="10"/>
      <c r="AE130" s="7"/>
    </row>
    <row r="131" spans="1:31" x14ac:dyDescent="0.3">
      <c r="A131" s="10" t="s">
        <v>2790</v>
      </c>
      <c r="B131" s="7" t="str">
        <f>IFERROR(IF(FIND(DATA_EFORM_TYPE_CODE,DB_TBL_DATA_FIELDS[[#This Row],[APPLICABLE_EFORM_LIST]])&gt;0,DATA_EFORM_TYPE_CODE,""),"")</f>
        <v>AHEAD</v>
      </c>
      <c r="C131" s="1" t="s">
        <v>2590</v>
      </c>
      <c r="D131" s="1" t="b">
        <v>0</v>
      </c>
      <c r="E131" s="199" t="b">
        <f ca="1">IF($I$130,FALSE,TRUE)</f>
        <v>0</v>
      </c>
      <c r="F131" s="2" t="s">
        <v>2583</v>
      </c>
      <c r="G131" s="10" t="str">
        <f ca="1">IFERROR(VLOOKUP(DB_TBL_DATA_FIELDS[[#This Row],[FIELD_ID]],INDIRECT(DB_TBL_DATA_FIELDS[[#This Row],[SHEET_REF_CALC]]&amp;"!A:B"),2,FALSE),"")</f>
        <v/>
      </c>
      <c r="H131" s="44" t="str">
        <f ca="1">IF(DB_TBL_DATA_FIELDS[[#This Row],[FIELD_EMPTY_FLAG]],"",DB_TBL_DATA_FIELDS[[#This Row],[FIELD_REQ_FLAG]])</f>
        <v/>
      </c>
      <c r="I131" s="2" t="b">
        <f ca="1">(DB_TBL_DATA_FIELDS[[#This Row],[FIELD_VALUE_RAW]]="")</f>
        <v>1</v>
      </c>
      <c r="J131" s="2" t="s">
        <v>40</v>
      </c>
      <c r="K131" s="7" t="b">
        <f ca="1">AND(IF(DB_TBL_DATA_FIELDS[[#This Row],[FIELD_VALID_CUSTOM_LOGIC]]="",TRUE,DB_TBL_DATA_FIELDS[[#This Row],[FIELD_VALID_CUSTOM_LOGIC]]),DB_TBL_DATA_FIELDS[[#This Row],[RANGE_VALIDATION_PASSED_FLAG]])</f>
        <v>0</v>
      </c>
      <c r="L131"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31" s="326">
        <f ca="1">IF(DB_TBL_DATA_FIELDS[[#This Row],[SHEET_REF_CALC]]="","",IF(DB_TBL_DATA_FIELDS[[#This Row],[FIELD_EMPTY_FLAG]],IF(NOT(DB_TBL_DATA_FIELDS[[#This Row],[FIELD_REQ_FLAG]]),-1,1),IF(NOT(DB_TBL_DATA_FIELDS[[#This Row],[FIELD_VALID_FLAG]]),0,2)))</f>
        <v>-1</v>
      </c>
      <c r="N131" s="7" t="str">
        <f ca="1">IFERROR(VLOOKUP(DB_TBL_DATA_FIELDS[[#This Row],[FIELD_STATUS_CODE]],DB_TBL_CONFIG_FIELDSTATUSCODES[#All],3,FALSE),"")</f>
        <v>Optional</v>
      </c>
      <c r="O131" s="7" t="str">
        <f ca="1">IFERROR(VLOOKUP(DB_TBL_DATA_FIELDS[[#This Row],[FIELD_STATUS_CODE]],DB_TBL_CONFIG_FIELDSTATUSCODES[#All],4,FALSE),"")</f>
        <v xml:space="preserve"> </v>
      </c>
      <c r="P131" s="7" t="b">
        <f>TRUE</f>
        <v>1</v>
      </c>
      <c r="Q131" s="7" t="b">
        <f>TRUE</f>
        <v>1</v>
      </c>
      <c r="R131" s="1" t="s">
        <v>40</v>
      </c>
      <c r="S131" s="7">
        <f ca="1">IF(DB_TBL_DATA_FIELDS[[#This Row],[RANGE_VALIDATION_FLAG]]="Text",LEN(DB_TBL_DATA_FIELDS[[#This Row],[FIELD_VALUE_RAW]]),IFERROR(VALUE(DB_TBL_DATA_FIELDS[[#This Row],[FIELD_VALUE_RAW]]),-1))</f>
        <v>-1</v>
      </c>
      <c r="T131" s="7">
        <v>0</v>
      </c>
      <c r="U131" s="8">
        <v>999999999999</v>
      </c>
      <c r="V131" s="7" t="b">
        <f ca="1">IF(NOT(DB_TBL_DATA_FIELDS[[#This Row],[RANGE_VALIDATION_ON_FLAG]]),TRUE,
AND(DB_TBL_DATA_FIELDS[[#This Row],[RANGE_VALUE_LEN]]&gt;=DB_TBL_DATA_FIELDS[[#This Row],[RANGE_VALIDATION_MIN]],DB_TBL_DATA_FIELDS[[#This Row],[RANGE_VALUE_LEN]]&lt;=DB_TBL_DATA_FIELDS[[#This Row],[RANGE_VALIDATION_MAX]]))</f>
        <v>0</v>
      </c>
      <c r="W131" s="7">
        <v>1</v>
      </c>
      <c r="X131" s="7">
        <f ca="1">IF(DB_TBL_DATA_FIELDS[[#This Row],[PCT_CALC_SHOW_STATUS_CODE]]=1,
DB_TBL_DATA_FIELDS[[#This Row],[FIELD_STATUS_CODE]],
IF(AND(DB_TBL_DATA_FIELDS[[#This Row],[PCT_CALC_SHOW_STATUS_CODE]]=2,DB_TBL_DATA_FIELDS[[#This Row],[FIELD_STATUS_CODE]]=0),
DB_TBL_DATA_FIELDS[[#This Row],[FIELD_STATUS_CODE]],
"")
)</f>
        <v>-1</v>
      </c>
      <c r="Y131" s="7"/>
      <c r="Z131" s="10" t="s">
        <v>2602</v>
      </c>
      <c r="AA131" s="10" t="s">
        <v>2559</v>
      </c>
      <c r="AB131" s="10"/>
      <c r="AC131" s="10"/>
      <c r="AD131" s="10"/>
      <c r="AE131" s="7"/>
    </row>
    <row r="132" spans="1:31" x14ac:dyDescent="0.3">
      <c r="A132" s="321" t="s">
        <v>2790</v>
      </c>
      <c r="B132" s="321" t="str">
        <f>IFERROR(IF(FIND(DATA_EFORM_TYPE_CODE,DB_TBL_DATA_FIELDS[[#This Row],[APPLICABLE_EFORM_LIST]])&gt;0,DATA_EFORM_TYPE_CODE,""),"")</f>
        <v>AHEAD</v>
      </c>
      <c r="C132" s="203" t="s">
        <v>2591</v>
      </c>
      <c r="D132" s="203" t="b">
        <v>0</v>
      </c>
      <c r="E132" s="204" t="b">
        <v>0</v>
      </c>
      <c r="F132" s="205" t="s">
        <v>2584</v>
      </c>
      <c r="G132" s="206" t="str">
        <f ca="1">IFERROR(VLOOKUP(DB_TBL_DATA_FIELDS[[#This Row],[FIELD_ID]],INDIRECT(DB_TBL_DATA_FIELDS[[#This Row],[SHEET_REF_CALC]]&amp;"!A:B"),2,FALSE),"")</f>
        <v/>
      </c>
      <c r="H132" s="206" t="str">
        <f ca="1">IF(DB_TBL_DATA_FIELDS[[#This Row],[FIELD_EMPTY_FLAG]],"",DB_TBL_DATA_FIELDS[[#This Row],[FIELD_REQ_FLAG]])</f>
        <v/>
      </c>
      <c r="I132" s="205" t="b">
        <f ca="1">(DB_TBL_DATA_FIELDS[[#This Row],[FIELD_VALUE_RAW]]="")</f>
        <v>1</v>
      </c>
      <c r="J132" s="205" t="s">
        <v>168</v>
      </c>
      <c r="K132" s="207" t="b">
        <f ca="1">AND(IF(DB_TBL_DATA_FIELDS[[#This Row],[FIELD_VALID_CUSTOM_LOGIC]]="",TRUE,DB_TBL_DATA_FIELDS[[#This Row],[FIELD_VALID_CUSTOM_LOGIC]]),DB_TBL_DATA_FIELDS[[#This Row],[RANGE_VALIDATION_PASSED_FLAG]])</f>
        <v>1</v>
      </c>
      <c r="L132" s="206"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32" s="332">
        <f ca="1">IF(DB_TBL_DATA_FIELDS[[#This Row],[SHEET_REF_CALC]]="","",IF(DB_TBL_DATA_FIELDS[[#This Row],[FIELD_EMPTY_FLAG]],IF(NOT(DB_TBL_DATA_FIELDS[[#This Row],[FIELD_REQ_FLAG]]),-1,1),IF(NOT(DB_TBL_DATA_FIELDS[[#This Row],[FIELD_VALID_FLAG]]),0,2)))</f>
        <v>-1</v>
      </c>
      <c r="N132" s="207" t="str">
        <f ca="1">IFERROR(VLOOKUP(DB_TBL_DATA_FIELDS[[#This Row],[FIELD_STATUS_CODE]],DB_TBL_CONFIG_FIELDSTATUSCODES[#All],3,FALSE),"")</f>
        <v>Optional</v>
      </c>
      <c r="O132" s="207" t="str">
        <f ca="1">IFERROR(VLOOKUP(DB_TBL_DATA_FIELDS[[#This Row],[FIELD_STATUS_CODE]],DB_TBL_CONFIG_FIELDSTATUSCODES[#All],4,FALSE),"")</f>
        <v xml:space="preserve"> </v>
      </c>
      <c r="P132" s="207" t="b">
        <f>TRUE</f>
        <v>1</v>
      </c>
      <c r="Q132" s="207" t="b">
        <v>0</v>
      </c>
      <c r="R132" s="203"/>
      <c r="S132" s="207">
        <f ca="1">IF(DB_TBL_DATA_FIELDS[[#This Row],[RANGE_VALIDATION_FLAG]]="Text",LEN(DB_TBL_DATA_FIELDS[[#This Row],[FIELD_VALUE_RAW]]),IFERROR(VALUE(DB_TBL_DATA_FIELDS[[#This Row],[FIELD_VALUE_RAW]]),-1))</f>
        <v>-1</v>
      </c>
      <c r="T132" s="207"/>
      <c r="U132" s="207"/>
      <c r="V132" s="207" t="b">
        <f>IF(NOT(DB_TBL_DATA_FIELDS[[#This Row],[RANGE_VALIDATION_ON_FLAG]]),TRUE,
AND(DB_TBL_DATA_FIELDS[[#This Row],[RANGE_VALUE_LEN]]&gt;=DB_TBL_DATA_FIELDS[[#This Row],[RANGE_VALIDATION_MIN]],DB_TBL_DATA_FIELDS[[#This Row],[RANGE_VALUE_LEN]]&lt;=DB_TBL_DATA_FIELDS[[#This Row],[RANGE_VALIDATION_MAX]]))</f>
        <v>1</v>
      </c>
      <c r="W132" s="202">
        <v>1</v>
      </c>
      <c r="X132" s="202">
        <f ca="1">IF(DB_TBL_DATA_FIELDS[[#This Row],[PCT_CALC_SHOW_STATUS_CODE]]=1,
DB_TBL_DATA_FIELDS[[#This Row],[FIELD_STATUS_CODE]],
IF(AND(DB_TBL_DATA_FIELDS[[#This Row],[PCT_CALC_SHOW_STATUS_CODE]]=2,DB_TBL_DATA_FIELDS[[#This Row],[FIELD_STATUS_CODE]]=0),
DB_TBL_DATA_FIELDS[[#This Row],[FIELD_STATUS_CODE]],
"")
)</f>
        <v>-1</v>
      </c>
      <c r="Y132" s="202"/>
      <c r="Z132" s="206" t="s">
        <v>2603</v>
      </c>
      <c r="AA132" s="206" t="s">
        <v>2559</v>
      </c>
      <c r="AB132" s="206"/>
      <c r="AC132" s="206"/>
      <c r="AD132" s="206"/>
      <c r="AE132" s="207" t="s">
        <v>2846</v>
      </c>
    </row>
    <row r="133" spans="1:31" x14ac:dyDescent="0.3">
      <c r="A133" s="10" t="s">
        <v>2790</v>
      </c>
      <c r="B133" s="7" t="str">
        <f>IFERROR(IF(FIND(DATA_EFORM_TYPE_CODE,DB_TBL_DATA_FIELDS[[#This Row],[APPLICABLE_EFORM_LIST]])&gt;0,DATA_EFORM_TYPE_CODE,""),"")</f>
        <v>AHEAD</v>
      </c>
      <c r="C133" s="1" t="s">
        <v>2592</v>
      </c>
      <c r="D133" s="1" t="b">
        <v>0</v>
      </c>
      <c r="E133" s="199" t="b">
        <f ca="1">IF($I$130,FALSE,TRUE)</f>
        <v>0</v>
      </c>
      <c r="F133" s="2" t="s">
        <v>2585</v>
      </c>
      <c r="G133" s="10" t="str">
        <f ca="1">IFERROR(VLOOKUP(DB_TBL_DATA_FIELDS[[#This Row],[FIELD_ID]],INDIRECT(DB_TBL_DATA_FIELDS[[#This Row],[SHEET_REF_CALC]]&amp;"!A:B"),2,FALSE),"")</f>
        <v/>
      </c>
      <c r="H133" s="44" t="str">
        <f ca="1">IF(DB_TBL_DATA_FIELDS[[#This Row],[FIELD_EMPTY_FLAG]],"",DB_TBL_DATA_FIELDS[[#This Row],[FIELD_REQ_FLAG]])</f>
        <v/>
      </c>
      <c r="I133" s="2" t="b">
        <f ca="1">(DB_TBL_DATA_FIELDS[[#This Row],[FIELD_VALUE_RAW]]="")</f>
        <v>1</v>
      </c>
      <c r="J133" s="2" t="s">
        <v>168</v>
      </c>
      <c r="K133" s="7" t="b">
        <f ca="1">AND(IF(DB_TBL_DATA_FIELDS[[#This Row],[FIELD_VALID_CUSTOM_LOGIC]]="",TRUE,DB_TBL_DATA_FIELDS[[#This Row],[FIELD_VALID_CUSTOM_LOGIC]]),DB_TBL_DATA_FIELDS[[#This Row],[RANGE_VALIDATION_PASSED_FLAG]])</f>
        <v>1</v>
      </c>
      <c r="L133"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33" s="326">
        <f ca="1">IF(DB_TBL_DATA_FIELDS[[#This Row],[SHEET_REF_CALC]]="","",IF(DB_TBL_DATA_FIELDS[[#This Row],[FIELD_EMPTY_FLAG]],IF(NOT(DB_TBL_DATA_FIELDS[[#This Row],[FIELD_REQ_FLAG]]),-1,1),IF(NOT(DB_TBL_DATA_FIELDS[[#This Row],[FIELD_VALID_FLAG]]),0,2)))</f>
        <v>-1</v>
      </c>
      <c r="N133" s="7" t="str">
        <f ca="1">IFERROR(VLOOKUP(DB_TBL_DATA_FIELDS[[#This Row],[FIELD_STATUS_CODE]],DB_TBL_CONFIG_FIELDSTATUSCODES[#All],3,FALSE),"")</f>
        <v>Optional</v>
      </c>
      <c r="O133" s="7" t="str">
        <f ca="1">IFERROR(VLOOKUP(DB_TBL_DATA_FIELDS[[#This Row],[FIELD_STATUS_CODE]],DB_TBL_CONFIG_FIELDSTATUSCODES[#All],4,FALSE),"")</f>
        <v xml:space="preserve"> </v>
      </c>
      <c r="P133" s="7" t="b">
        <f>TRUE</f>
        <v>1</v>
      </c>
      <c r="Q133" s="7" t="b">
        <v>0</v>
      </c>
      <c r="S133" s="7">
        <f ca="1">IF(DB_TBL_DATA_FIELDS[[#This Row],[RANGE_VALIDATION_FLAG]]="Text",LEN(DB_TBL_DATA_FIELDS[[#This Row],[FIELD_VALUE_RAW]]),IFERROR(VALUE(DB_TBL_DATA_FIELDS[[#This Row],[FIELD_VALUE_RAW]]),-1))</f>
        <v>-1</v>
      </c>
      <c r="T133" s="7"/>
      <c r="U133" s="7"/>
      <c r="V133" s="7" t="b">
        <f>IF(NOT(DB_TBL_DATA_FIELDS[[#This Row],[RANGE_VALIDATION_ON_FLAG]]),TRUE,
AND(DB_TBL_DATA_FIELDS[[#This Row],[RANGE_VALUE_LEN]]&gt;=DB_TBL_DATA_FIELDS[[#This Row],[RANGE_VALIDATION_MIN]],DB_TBL_DATA_FIELDS[[#This Row],[RANGE_VALUE_LEN]]&lt;=DB_TBL_DATA_FIELDS[[#This Row],[RANGE_VALIDATION_MAX]]))</f>
        <v>1</v>
      </c>
      <c r="W133" s="7">
        <v>1</v>
      </c>
      <c r="X133" s="7">
        <f ca="1">IF(DB_TBL_DATA_FIELDS[[#This Row],[PCT_CALC_SHOW_STATUS_CODE]]=1,
DB_TBL_DATA_FIELDS[[#This Row],[FIELD_STATUS_CODE]],
IF(AND(DB_TBL_DATA_FIELDS[[#This Row],[PCT_CALC_SHOW_STATUS_CODE]]=2,DB_TBL_DATA_FIELDS[[#This Row],[FIELD_STATUS_CODE]]=0),
DB_TBL_DATA_FIELDS[[#This Row],[FIELD_STATUS_CODE]],
"")
)</f>
        <v>-1</v>
      </c>
      <c r="Y133" s="7"/>
      <c r="Z133" s="10" t="s">
        <v>2604</v>
      </c>
      <c r="AA133" s="10" t="s">
        <v>2559</v>
      </c>
      <c r="AB133" s="10"/>
      <c r="AC133" s="10"/>
      <c r="AD133" s="10"/>
      <c r="AE133" s="7"/>
    </row>
    <row r="134" spans="1:31" x14ac:dyDescent="0.3">
      <c r="A134" s="10" t="s">
        <v>2790</v>
      </c>
      <c r="B134" s="7" t="str">
        <f>IFERROR(IF(FIND(DATA_EFORM_TYPE_CODE,DB_TBL_DATA_FIELDS[[#This Row],[APPLICABLE_EFORM_LIST]])&gt;0,DATA_EFORM_TYPE_CODE,""),"")</f>
        <v>AHEAD</v>
      </c>
      <c r="C134" s="1" t="s">
        <v>2593</v>
      </c>
      <c r="D134" s="1" t="b">
        <v>0</v>
      </c>
      <c r="E134" s="24" t="b">
        <v>0</v>
      </c>
      <c r="F134" s="2" t="s">
        <v>2582</v>
      </c>
      <c r="G134" s="10" t="str">
        <f ca="1">IFERROR(VLOOKUP(DB_TBL_DATA_FIELDS[[#This Row],[FIELD_ID]],INDIRECT(DB_TBL_DATA_FIELDS[[#This Row],[SHEET_REF_CALC]]&amp;"!A:B"),2,FALSE),"")</f>
        <v/>
      </c>
      <c r="H134" s="10"/>
      <c r="I134" s="2" t="b">
        <f ca="1">(DB_TBL_DATA_FIELDS[[#This Row],[FIELD_VALUE_RAW]]="")</f>
        <v>1</v>
      </c>
      <c r="J134" s="2" t="s">
        <v>9</v>
      </c>
      <c r="K134" s="7" t="b">
        <f ca="1">AND(IF(DB_TBL_DATA_FIELDS[[#This Row],[FIELD_VALID_CUSTOM_LOGIC]]="",TRUE,DB_TBL_DATA_FIELDS[[#This Row],[FIELD_VALID_CUSTOM_LOGIC]]),DB_TBL_DATA_FIELDS[[#This Row],[RANGE_VALIDATION_PASSED_FLAG]])</f>
        <v>1</v>
      </c>
      <c r="L134"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34" s="326">
        <f ca="1">IF(DB_TBL_DATA_FIELDS[[#This Row],[SHEET_REF_CALC]]="","",IF(DB_TBL_DATA_FIELDS[[#This Row],[FIELD_EMPTY_FLAG]],IF(NOT(DB_TBL_DATA_FIELDS[[#This Row],[FIELD_REQ_FLAG]]),-1,1),IF(NOT(DB_TBL_DATA_FIELDS[[#This Row],[FIELD_VALID_FLAG]]),0,2)))</f>
        <v>-1</v>
      </c>
      <c r="N134" s="7" t="str">
        <f ca="1">IFERROR(VLOOKUP(DB_TBL_DATA_FIELDS[[#This Row],[FIELD_STATUS_CODE]],DB_TBL_CONFIG_FIELDSTATUSCODES[#All],3,FALSE),"")</f>
        <v>Optional</v>
      </c>
      <c r="O134" s="7" t="str">
        <f ca="1">IFERROR(VLOOKUP(DB_TBL_DATA_FIELDS[[#This Row],[FIELD_STATUS_CODE]],DB_TBL_CONFIG_FIELDSTATUSCODES[#All],4,FALSE),"")</f>
        <v xml:space="preserve"> </v>
      </c>
      <c r="P134" s="7" t="b">
        <f>TRUE</f>
        <v>1</v>
      </c>
      <c r="Q134" s="7" t="b">
        <f>TRUE</f>
        <v>1</v>
      </c>
      <c r="R134" s="1" t="s">
        <v>9</v>
      </c>
      <c r="S134" s="7">
        <f ca="1">IF(DB_TBL_DATA_FIELDS[[#This Row],[RANGE_VALIDATION_FLAG]]="Text",LEN(DB_TBL_DATA_FIELDS[[#This Row],[FIELD_VALUE_RAW]]),IFERROR(VALUE(DB_TBL_DATA_FIELDS[[#This Row],[FIELD_VALUE_RAW]]),-1))</f>
        <v>0</v>
      </c>
      <c r="T134" s="7">
        <v>0</v>
      </c>
      <c r="U134" s="7">
        <v>200</v>
      </c>
      <c r="V134" s="7" t="b">
        <f ca="1">IF(NOT(DB_TBL_DATA_FIELDS[[#This Row],[RANGE_VALIDATION_ON_FLAG]]),TRUE,
AND(DB_TBL_DATA_FIELDS[[#This Row],[RANGE_VALUE_LEN]]&gt;=DB_TBL_DATA_FIELDS[[#This Row],[RANGE_VALIDATION_MIN]],DB_TBL_DATA_FIELDS[[#This Row],[RANGE_VALUE_LEN]]&lt;=DB_TBL_DATA_FIELDS[[#This Row],[RANGE_VALIDATION_MAX]]))</f>
        <v>1</v>
      </c>
      <c r="W134" s="7">
        <v>1</v>
      </c>
      <c r="X134" s="7">
        <f ca="1">IF(DB_TBL_DATA_FIELDS[[#This Row],[PCT_CALC_SHOW_STATUS_CODE]]=1,
DB_TBL_DATA_FIELDS[[#This Row],[FIELD_STATUS_CODE]],
IF(AND(DB_TBL_DATA_FIELDS[[#This Row],[PCT_CALC_SHOW_STATUS_CODE]]=2,DB_TBL_DATA_FIELDS[[#This Row],[FIELD_STATUS_CODE]]=0),
DB_TBL_DATA_FIELDS[[#This Row],[FIELD_STATUS_CODE]],
"")
)</f>
        <v>-1</v>
      </c>
      <c r="Y134" s="7"/>
      <c r="Z134" s="10" t="s">
        <v>2605</v>
      </c>
      <c r="AA134" s="10" t="s">
        <v>2559</v>
      </c>
      <c r="AB134" s="10"/>
      <c r="AC134" s="10"/>
      <c r="AD134" s="10"/>
      <c r="AE134" s="7"/>
    </row>
    <row r="135" spans="1:31" x14ac:dyDescent="0.3">
      <c r="A135" s="10" t="s">
        <v>2790</v>
      </c>
      <c r="B135" s="7" t="str">
        <f>IFERROR(IF(FIND(DATA_EFORM_TYPE_CODE,DB_TBL_DATA_FIELDS[[#This Row],[APPLICABLE_EFORM_LIST]])&gt;0,DATA_EFORM_TYPE_CODE,""),"")</f>
        <v>AHEAD</v>
      </c>
      <c r="C135" s="1" t="s">
        <v>2594</v>
      </c>
      <c r="D135" s="1" t="b">
        <v>0</v>
      </c>
      <c r="E135" s="199" t="b">
        <f ca="1">IF($I$134,FALSE,TRUE)</f>
        <v>0</v>
      </c>
      <c r="F135" s="2" t="s">
        <v>2583</v>
      </c>
      <c r="G135" s="10" t="str">
        <f ca="1">IFERROR(VLOOKUP(DB_TBL_DATA_FIELDS[[#This Row],[FIELD_ID]],INDIRECT(DB_TBL_DATA_FIELDS[[#This Row],[SHEET_REF_CALC]]&amp;"!A:B"),2,FALSE),"")</f>
        <v/>
      </c>
      <c r="H135" s="44" t="str">
        <f ca="1">IF(DB_TBL_DATA_FIELDS[[#This Row],[FIELD_EMPTY_FLAG]],"",DB_TBL_DATA_FIELDS[[#This Row],[FIELD_REQ_FLAG]])</f>
        <v/>
      </c>
      <c r="I135" s="2" t="b">
        <f ca="1">(DB_TBL_DATA_FIELDS[[#This Row],[FIELD_VALUE_RAW]]="")</f>
        <v>1</v>
      </c>
      <c r="J135" s="2" t="s">
        <v>40</v>
      </c>
      <c r="K135" s="7" t="b">
        <f ca="1">AND(IF(DB_TBL_DATA_FIELDS[[#This Row],[FIELD_VALID_CUSTOM_LOGIC]]="",TRUE,DB_TBL_DATA_FIELDS[[#This Row],[FIELD_VALID_CUSTOM_LOGIC]]),DB_TBL_DATA_FIELDS[[#This Row],[RANGE_VALIDATION_PASSED_FLAG]])</f>
        <v>0</v>
      </c>
      <c r="L135"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35" s="326">
        <f ca="1">IF(DB_TBL_DATA_FIELDS[[#This Row],[SHEET_REF_CALC]]="","",IF(DB_TBL_DATA_FIELDS[[#This Row],[FIELD_EMPTY_FLAG]],IF(NOT(DB_TBL_DATA_FIELDS[[#This Row],[FIELD_REQ_FLAG]]),-1,1),IF(NOT(DB_TBL_DATA_FIELDS[[#This Row],[FIELD_VALID_FLAG]]),0,2)))</f>
        <v>-1</v>
      </c>
      <c r="N135" s="7" t="str">
        <f ca="1">IFERROR(VLOOKUP(DB_TBL_DATA_FIELDS[[#This Row],[FIELD_STATUS_CODE]],DB_TBL_CONFIG_FIELDSTATUSCODES[#All],3,FALSE),"")</f>
        <v>Optional</v>
      </c>
      <c r="O135" s="7" t="str">
        <f ca="1">IFERROR(VLOOKUP(DB_TBL_DATA_FIELDS[[#This Row],[FIELD_STATUS_CODE]],DB_TBL_CONFIG_FIELDSTATUSCODES[#All],4,FALSE),"")</f>
        <v xml:space="preserve"> </v>
      </c>
      <c r="P135" s="7" t="b">
        <f>TRUE</f>
        <v>1</v>
      </c>
      <c r="Q135" s="7" t="b">
        <f>TRUE</f>
        <v>1</v>
      </c>
      <c r="R135" s="1" t="s">
        <v>40</v>
      </c>
      <c r="S135" s="7">
        <f ca="1">IF(DB_TBL_DATA_FIELDS[[#This Row],[RANGE_VALIDATION_FLAG]]="Text",LEN(DB_TBL_DATA_FIELDS[[#This Row],[FIELD_VALUE_RAW]]),IFERROR(VALUE(DB_TBL_DATA_FIELDS[[#This Row],[FIELD_VALUE_RAW]]),-1))</f>
        <v>-1</v>
      </c>
      <c r="T135" s="7">
        <v>0</v>
      </c>
      <c r="U135" s="8">
        <v>999999999999</v>
      </c>
      <c r="V135" s="7" t="b">
        <f ca="1">IF(NOT(DB_TBL_DATA_FIELDS[[#This Row],[RANGE_VALIDATION_ON_FLAG]]),TRUE,
AND(DB_TBL_DATA_FIELDS[[#This Row],[RANGE_VALUE_LEN]]&gt;=DB_TBL_DATA_FIELDS[[#This Row],[RANGE_VALIDATION_MIN]],DB_TBL_DATA_FIELDS[[#This Row],[RANGE_VALUE_LEN]]&lt;=DB_TBL_DATA_FIELDS[[#This Row],[RANGE_VALIDATION_MAX]]))</f>
        <v>0</v>
      </c>
      <c r="W135" s="7">
        <v>1</v>
      </c>
      <c r="X135" s="7">
        <f ca="1">IF(DB_TBL_DATA_FIELDS[[#This Row],[PCT_CALC_SHOW_STATUS_CODE]]=1,
DB_TBL_DATA_FIELDS[[#This Row],[FIELD_STATUS_CODE]],
IF(AND(DB_TBL_DATA_FIELDS[[#This Row],[PCT_CALC_SHOW_STATUS_CODE]]=2,DB_TBL_DATA_FIELDS[[#This Row],[FIELD_STATUS_CODE]]=0),
DB_TBL_DATA_FIELDS[[#This Row],[FIELD_STATUS_CODE]],
"")
)</f>
        <v>-1</v>
      </c>
      <c r="Y135" s="7"/>
      <c r="Z135" s="10" t="s">
        <v>2606</v>
      </c>
      <c r="AA135" s="10" t="s">
        <v>2559</v>
      </c>
      <c r="AB135" s="10"/>
      <c r="AC135" s="10"/>
      <c r="AD135" s="10"/>
      <c r="AE135" s="7"/>
    </row>
    <row r="136" spans="1:31" x14ac:dyDescent="0.3">
      <c r="A136" s="321" t="s">
        <v>2790</v>
      </c>
      <c r="B136" s="321" t="str">
        <f>IFERROR(IF(FIND(DATA_EFORM_TYPE_CODE,DB_TBL_DATA_FIELDS[[#This Row],[APPLICABLE_EFORM_LIST]])&gt;0,DATA_EFORM_TYPE_CODE,""),"")</f>
        <v>AHEAD</v>
      </c>
      <c r="C136" s="203" t="s">
        <v>2595</v>
      </c>
      <c r="D136" s="203" t="b">
        <v>0</v>
      </c>
      <c r="E136" s="204" t="b">
        <v>0</v>
      </c>
      <c r="F136" s="205" t="s">
        <v>2584</v>
      </c>
      <c r="G136" s="206" t="str">
        <f ca="1">IFERROR(VLOOKUP(DB_TBL_DATA_FIELDS[[#This Row],[FIELD_ID]],INDIRECT(DB_TBL_DATA_FIELDS[[#This Row],[SHEET_REF_CALC]]&amp;"!A:B"),2,FALSE),"")</f>
        <v/>
      </c>
      <c r="H136" s="206" t="str">
        <f ca="1">IF(DB_TBL_DATA_FIELDS[[#This Row],[FIELD_EMPTY_FLAG]],"",DB_TBL_DATA_FIELDS[[#This Row],[FIELD_REQ_FLAG]])</f>
        <v/>
      </c>
      <c r="I136" s="205" t="b">
        <f ca="1">(DB_TBL_DATA_FIELDS[[#This Row],[FIELD_VALUE_RAW]]="")</f>
        <v>1</v>
      </c>
      <c r="J136" s="205" t="s">
        <v>168</v>
      </c>
      <c r="K136" s="207" t="b">
        <f ca="1">AND(IF(DB_TBL_DATA_FIELDS[[#This Row],[FIELD_VALID_CUSTOM_LOGIC]]="",TRUE,DB_TBL_DATA_FIELDS[[#This Row],[FIELD_VALID_CUSTOM_LOGIC]]),DB_TBL_DATA_FIELDS[[#This Row],[RANGE_VALIDATION_PASSED_FLAG]])</f>
        <v>1</v>
      </c>
      <c r="L136" s="206"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36" s="332">
        <f ca="1">IF(DB_TBL_DATA_FIELDS[[#This Row],[SHEET_REF_CALC]]="","",IF(DB_TBL_DATA_FIELDS[[#This Row],[FIELD_EMPTY_FLAG]],IF(NOT(DB_TBL_DATA_FIELDS[[#This Row],[FIELD_REQ_FLAG]]),-1,1),IF(NOT(DB_TBL_DATA_FIELDS[[#This Row],[FIELD_VALID_FLAG]]),0,2)))</f>
        <v>-1</v>
      </c>
      <c r="N136" s="207" t="str">
        <f ca="1">IFERROR(VLOOKUP(DB_TBL_DATA_FIELDS[[#This Row],[FIELD_STATUS_CODE]],DB_TBL_CONFIG_FIELDSTATUSCODES[#All],3,FALSE),"")</f>
        <v>Optional</v>
      </c>
      <c r="O136" s="207" t="str">
        <f ca="1">IFERROR(VLOOKUP(DB_TBL_DATA_FIELDS[[#This Row],[FIELD_STATUS_CODE]],DB_TBL_CONFIG_FIELDSTATUSCODES[#All],4,FALSE),"")</f>
        <v xml:space="preserve"> </v>
      </c>
      <c r="P136" s="207" t="b">
        <f>TRUE</f>
        <v>1</v>
      </c>
      <c r="Q136" s="207" t="b">
        <v>0</v>
      </c>
      <c r="R136" s="203"/>
      <c r="S136" s="207">
        <f ca="1">IF(DB_TBL_DATA_FIELDS[[#This Row],[RANGE_VALIDATION_FLAG]]="Text",LEN(DB_TBL_DATA_FIELDS[[#This Row],[FIELD_VALUE_RAW]]),IFERROR(VALUE(DB_TBL_DATA_FIELDS[[#This Row],[FIELD_VALUE_RAW]]),-1))</f>
        <v>-1</v>
      </c>
      <c r="T136" s="207"/>
      <c r="U136" s="207"/>
      <c r="V136" s="207" t="b">
        <f>IF(NOT(DB_TBL_DATA_FIELDS[[#This Row],[RANGE_VALIDATION_ON_FLAG]]),TRUE,
AND(DB_TBL_DATA_FIELDS[[#This Row],[RANGE_VALUE_LEN]]&gt;=DB_TBL_DATA_FIELDS[[#This Row],[RANGE_VALIDATION_MIN]],DB_TBL_DATA_FIELDS[[#This Row],[RANGE_VALUE_LEN]]&lt;=DB_TBL_DATA_FIELDS[[#This Row],[RANGE_VALIDATION_MAX]]))</f>
        <v>1</v>
      </c>
      <c r="W136" s="202">
        <v>1</v>
      </c>
      <c r="X136" s="202">
        <f ca="1">IF(DB_TBL_DATA_FIELDS[[#This Row],[PCT_CALC_SHOW_STATUS_CODE]]=1,
DB_TBL_DATA_FIELDS[[#This Row],[FIELD_STATUS_CODE]],
IF(AND(DB_TBL_DATA_FIELDS[[#This Row],[PCT_CALC_SHOW_STATUS_CODE]]=2,DB_TBL_DATA_FIELDS[[#This Row],[FIELD_STATUS_CODE]]=0),
DB_TBL_DATA_FIELDS[[#This Row],[FIELD_STATUS_CODE]],
"")
)</f>
        <v>-1</v>
      </c>
      <c r="Y136" s="202"/>
      <c r="Z136" s="206" t="s">
        <v>2607</v>
      </c>
      <c r="AA136" s="206" t="s">
        <v>2559</v>
      </c>
      <c r="AB136" s="206"/>
      <c r="AC136" s="206"/>
      <c r="AD136" s="206"/>
      <c r="AE136" s="207" t="s">
        <v>2846</v>
      </c>
    </row>
    <row r="137" spans="1:31" x14ac:dyDescent="0.3">
      <c r="A137" s="10" t="s">
        <v>2790</v>
      </c>
      <c r="B137" s="7" t="str">
        <f>IFERROR(IF(FIND(DATA_EFORM_TYPE_CODE,DB_TBL_DATA_FIELDS[[#This Row],[APPLICABLE_EFORM_LIST]])&gt;0,DATA_EFORM_TYPE_CODE,""),"")</f>
        <v>AHEAD</v>
      </c>
      <c r="C137" s="1" t="s">
        <v>2596</v>
      </c>
      <c r="D137" s="1" t="b">
        <v>0</v>
      </c>
      <c r="E137" s="199" t="b">
        <f ca="1">IF($I$134,FALSE,TRUE)</f>
        <v>0</v>
      </c>
      <c r="F137" s="2" t="s">
        <v>2585</v>
      </c>
      <c r="G137" s="10" t="str">
        <f ca="1">IFERROR(VLOOKUP(DB_TBL_DATA_FIELDS[[#This Row],[FIELD_ID]],INDIRECT(DB_TBL_DATA_FIELDS[[#This Row],[SHEET_REF_CALC]]&amp;"!A:B"),2,FALSE),"")</f>
        <v/>
      </c>
      <c r="H137" s="44" t="str">
        <f ca="1">IF(DB_TBL_DATA_FIELDS[[#This Row],[FIELD_EMPTY_FLAG]],"",DB_TBL_DATA_FIELDS[[#This Row],[FIELD_REQ_FLAG]])</f>
        <v/>
      </c>
      <c r="I137" s="2" t="b">
        <f ca="1">(DB_TBL_DATA_FIELDS[[#This Row],[FIELD_VALUE_RAW]]="")</f>
        <v>1</v>
      </c>
      <c r="J137" s="2" t="s">
        <v>168</v>
      </c>
      <c r="K137" s="7" t="b">
        <f ca="1">AND(IF(DB_TBL_DATA_FIELDS[[#This Row],[FIELD_VALID_CUSTOM_LOGIC]]="",TRUE,DB_TBL_DATA_FIELDS[[#This Row],[FIELD_VALID_CUSTOM_LOGIC]]),DB_TBL_DATA_FIELDS[[#This Row],[RANGE_VALIDATION_PASSED_FLAG]])</f>
        <v>1</v>
      </c>
      <c r="L137"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37" s="326">
        <f ca="1">IF(DB_TBL_DATA_FIELDS[[#This Row],[SHEET_REF_CALC]]="","",IF(DB_TBL_DATA_FIELDS[[#This Row],[FIELD_EMPTY_FLAG]],IF(NOT(DB_TBL_DATA_FIELDS[[#This Row],[FIELD_REQ_FLAG]]),-1,1),IF(NOT(DB_TBL_DATA_FIELDS[[#This Row],[FIELD_VALID_FLAG]]),0,2)))</f>
        <v>-1</v>
      </c>
      <c r="N137" s="7" t="str">
        <f ca="1">IFERROR(VLOOKUP(DB_TBL_DATA_FIELDS[[#This Row],[FIELD_STATUS_CODE]],DB_TBL_CONFIG_FIELDSTATUSCODES[#All],3,FALSE),"")</f>
        <v>Optional</v>
      </c>
      <c r="O137" s="7" t="str">
        <f ca="1">IFERROR(VLOOKUP(DB_TBL_DATA_FIELDS[[#This Row],[FIELD_STATUS_CODE]],DB_TBL_CONFIG_FIELDSTATUSCODES[#All],4,FALSE),"")</f>
        <v xml:space="preserve"> </v>
      </c>
      <c r="P137" s="7" t="b">
        <f>TRUE</f>
        <v>1</v>
      </c>
      <c r="Q137" s="7" t="b">
        <v>0</v>
      </c>
      <c r="S137" s="7">
        <f ca="1">IF(DB_TBL_DATA_FIELDS[[#This Row],[RANGE_VALIDATION_FLAG]]="Text",LEN(DB_TBL_DATA_FIELDS[[#This Row],[FIELD_VALUE_RAW]]),IFERROR(VALUE(DB_TBL_DATA_FIELDS[[#This Row],[FIELD_VALUE_RAW]]),-1))</f>
        <v>-1</v>
      </c>
      <c r="T137" s="7"/>
      <c r="U137" s="7"/>
      <c r="V137" s="7" t="b">
        <f>IF(NOT(DB_TBL_DATA_FIELDS[[#This Row],[RANGE_VALIDATION_ON_FLAG]]),TRUE,
AND(DB_TBL_DATA_FIELDS[[#This Row],[RANGE_VALUE_LEN]]&gt;=DB_TBL_DATA_FIELDS[[#This Row],[RANGE_VALIDATION_MIN]],DB_TBL_DATA_FIELDS[[#This Row],[RANGE_VALUE_LEN]]&lt;=DB_TBL_DATA_FIELDS[[#This Row],[RANGE_VALIDATION_MAX]]))</f>
        <v>1</v>
      </c>
      <c r="W137" s="7">
        <v>1</v>
      </c>
      <c r="X137" s="7">
        <f ca="1">IF(DB_TBL_DATA_FIELDS[[#This Row],[PCT_CALC_SHOW_STATUS_CODE]]=1,
DB_TBL_DATA_FIELDS[[#This Row],[FIELD_STATUS_CODE]],
IF(AND(DB_TBL_DATA_FIELDS[[#This Row],[PCT_CALC_SHOW_STATUS_CODE]]=2,DB_TBL_DATA_FIELDS[[#This Row],[FIELD_STATUS_CODE]]=0),
DB_TBL_DATA_FIELDS[[#This Row],[FIELD_STATUS_CODE]],
"")
)</f>
        <v>-1</v>
      </c>
      <c r="Y137" s="7"/>
      <c r="Z137" s="10" t="s">
        <v>2608</v>
      </c>
      <c r="AA137" s="10" t="s">
        <v>2559</v>
      </c>
      <c r="AB137" s="10"/>
      <c r="AC137" s="10"/>
      <c r="AD137" s="10"/>
      <c r="AE137" s="7"/>
    </row>
    <row r="138" spans="1:31" x14ac:dyDescent="0.3">
      <c r="A138" s="10" t="s">
        <v>2790</v>
      </c>
      <c r="B138" s="7" t="str">
        <f>IFERROR(IF(FIND(DATA_EFORM_TYPE_CODE,DB_TBL_DATA_FIELDS[[#This Row],[APPLICABLE_EFORM_LIST]])&gt;0,DATA_EFORM_TYPE_CODE,""),"")</f>
        <v>AHEAD</v>
      </c>
      <c r="C138" s="1" t="s">
        <v>2597</v>
      </c>
      <c r="D138" s="1" t="b">
        <v>0</v>
      </c>
      <c r="E138" s="24" t="b">
        <v>0</v>
      </c>
      <c r="F138" s="2" t="s">
        <v>2582</v>
      </c>
      <c r="G138" s="10" t="str">
        <f ca="1">IFERROR(VLOOKUP(DB_TBL_DATA_FIELDS[[#This Row],[FIELD_ID]],INDIRECT(DB_TBL_DATA_FIELDS[[#This Row],[SHEET_REF_CALC]]&amp;"!A:B"),2,FALSE),"")</f>
        <v/>
      </c>
      <c r="H138" s="10"/>
      <c r="I138" s="2" t="b">
        <f ca="1">(DB_TBL_DATA_FIELDS[[#This Row],[FIELD_VALUE_RAW]]="")</f>
        <v>1</v>
      </c>
      <c r="J138" s="2" t="s">
        <v>9</v>
      </c>
      <c r="K138" s="7" t="b">
        <f ca="1">AND(IF(DB_TBL_DATA_FIELDS[[#This Row],[FIELD_VALID_CUSTOM_LOGIC]]="",TRUE,DB_TBL_DATA_FIELDS[[#This Row],[FIELD_VALID_CUSTOM_LOGIC]]),DB_TBL_DATA_FIELDS[[#This Row],[RANGE_VALIDATION_PASSED_FLAG]])</f>
        <v>1</v>
      </c>
      <c r="L138"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38" s="326">
        <f ca="1">IF(DB_TBL_DATA_FIELDS[[#This Row],[SHEET_REF_CALC]]="","",IF(DB_TBL_DATA_FIELDS[[#This Row],[FIELD_EMPTY_FLAG]],IF(NOT(DB_TBL_DATA_FIELDS[[#This Row],[FIELD_REQ_FLAG]]),-1,1),IF(NOT(DB_TBL_DATA_FIELDS[[#This Row],[FIELD_VALID_FLAG]]),0,2)))</f>
        <v>-1</v>
      </c>
      <c r="N138" s="7" t="str">
        <f ca="1">IFERROR(VLOOKUP(DB_TBL_DATA_FIELDS[[#This Row],[FIELD_STATUS_CODE]],DB_TBL_CONFIG_FIELDSTATUSCODES[#All],3,FALSE),"")</f>
        <v>Optional</v>
      </c>
      <c r="O138" s="7" t="str">
        <f ca="1">IFERROR(VLOOKUP(DB_TBL_DATA_FIELDS[[#This Row],[FIELD_STATUS_CODE]],DB_TBL_CONFIG_FIELDSTATUSCODES[#All],4,FALSE),"")</f>
        <v xml:space="preserve"> </v>
      </c>
      <c r="P138" s="7" t="b">
        <f>TRUE</f>
        <v>1</v>
      </c>
      <c r="Q138" s="7" t="b">
        <f>TRUE</f>
        <v>1</v>
      </c>
      <c r="R138" s="1" t="s">
        <v>9</v>
      </c>
      <c r="S138" s="7">
        <f ca="1">IF(DB_TBL_DATA_FIELDS[[#This Row],[RANGE_VALIDATION_FLAG]]="Text",LEN(DB_TBL_DATA_FIELDS[[#This Row],[FIELD_VALUE_RAW]]),IFERROR(VALUE(DB_TBL_DATA_FIELDS[[#This Row],[FIELD_VALUE_RAW]]),-1))</f>
        <v>0</v>
      </c>
      <c r="T138" s="7">
        <v>0</v>
      </c>
      <c r="U138" s="7">
        <v>200</v>
      </c>
      <c r="V138" s="7" t="b">
        <f ca="1">IF(NOT(DB_TBL_DATA_FIELDS[[#This Row],[RANGE_VALIDATION_ON_FLAG]]),TRUE,
AND(DB_TBL_DATA_FIELDS[[#This Row],[RANGE_VALUE_LEN]]&gt;=DB_TBL_DATA_FIELDS[[#This Row],[RANGE_VALIDATION_MIN]],DB_TBL_DATA_FIELDS[[#This Row],[RANGE_VALUE_LEN]]&lt;=DB_TBL_DATA_FIELDS[[#This Row],[RANGE_VALIDATION_MAX]]))</f>
        <v>1</v>
      </c>
      <c r="W138" s="7">
        <v>1</v>
      </c>
      <c r="X138" s="7">
        <f ca="1">IF(DB_TBL_DATA_FIELDS[[#This Row],[PCT_CALC_SHOW_STATUS_CODE]]=1,
DB_TBL_DATA_FIELDS[[#This Row],[FIELD_STATUS_CODE]],
IF(AND(DB_TBL_DATA_FIELDS[[#This Row],[PCT_CALC_SHOW_STATUS_CODE]]=2,DB_TBL_DATA_FIELDS[[#This Row],[FIELD_STATUS_CODE]]=0),
DB_TBL_DATA_FIELDS[[#This Row],[FIELD_STATUS_CODE]],
"")
)</f>
        <v>-1</v>
      </c>
      <c r="Y138" s="7"/>
      <c r="Z138" s="10" t="s">
        <v>2609</v>
      </c>
      <c r="AA138" s="10" t="s">
        <v>2559</v>
      </c>
      <c r="AB138" s="10"/>
      <c r="AC138" s="10"/>
      <c r="AD138" s="10"/>
      <c r="AE138" s="7"/>
    </row>
    <row r="139" spans="1:31" x14ac:dyDescent="0.3">
      <c r="A139" s="10" t="s">
        <v>2790</v>
      </c>
      <c r="B139" s="7" t="str">
        <f>IFERROR(IF(FIND(DATA_EFORM_TYPE_CODE,DB_TBL_DATA_FIELDS[[#This Row],[APPLICABLE_EFORM_LIST]])&gt;0,DATA_EFORM_TYPE_CODE,""),"")</f>
        <v>AHEAD</v>
      </c>
      <c r="C139" s="1" t="s">
        <v>2598</v>
      </c>
      <c r="D139" s="1" t="b">
        <v>0</v>
      </c>
      <c r="E139" s="199" t="b">
        <f ca="1">IF($I$138,FALSE,TRUE)</f>
        <v>0</v>
      </c>
      <c r="F139" s="2" t="s">
        <v>2583</v>
      </c>
      <c r="G139" s="10" t="str">
        <f ca="1">IFERROR(VLOOKUP(DB_TBL_DATA_FIELDS[[#This Row],[FIELD_ID]],INDIRECT(DB_TBL_DATA_FIELDS[[#This Row],[SHEET_REF_CALC]]&amp;"!A:B"),2,FALSE),"")</f>
        <v/>
      </c>
      <c r="H139" s="44" t="str">
        <f ca="1">IF(DB_TBL_DATA_FIELDS[[#This Row],[FIELD_EMPTY_FLAG]],"",DB_TBL_DATA_FIELDS[[#This Row],[FIELD_REQ_FLAG]])</f>
        <v/>
      </c>
      <c r="I139" s="2" t="b">
        <f ca="1">(DB_TBL_DATA_FIELDS[[#This Row],[FIELD_VALUE_RAW]]="")</f>
        <v>1</v>
      </c>
      <c r="J139" s="2" t="s">
        <v>40</v>
      </c>
      <c r="K139" s="7" t="b">
        <f ca="1">AND(IF(DB_TBL_DATA_FIELDS[[#This Row],[FIELD_VALID_CUSTOM_LOGIC]]="",TRUE,DB_TBL_DATA_FIELDS[[#This Row],[FIELD_VALID_CUSTOM_LOGIC]]),DB_TBL_DATA_FIELDS[[#This Row],[RANGE_VALIDATION_PASSED_FLAG]])</f>
        <v>0</v>
      </c>
      <c r="L139"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39" s="326">
        <f ca="1">IF(DB_TBL_DATA_FIELDS[[#This Row],[SHEET_REF_CALC]]="","",IF(DB_TBL_DATA_FIELDS[[#This Row],[FIELD_EMPTY_FLAG]],IF(NOT(DB_TBL_DATA_FIELDS[[#This Row],[FIELD_REQ_FLAG]]),-1,1),IF(NOT(DB_TBL_DATA_FIELDS[[#This Row],[FIELD_VALID_FLAG]]),0,2)))</f>
        <v>-1</v>
      </c>
      <c r="N139" s="7" t="str">
        <f ca="1">IFERROR(VLOOKUP(DB_TBL_DATA_FIELDS[[#This Row],[FIELD_STATUS_CODE]],DB_TBL_CONFIG_FIELDSTATUSCODES[#All],3,FALSE),"")</f>
        <v>Optional</v>
      </c>
      <c r="O139" s="7" t="str">
        <f ca="1">IFERROR(VLOOKUP(DB_TBL_DATA_FIELDS[[#This Row],[FIELD_STATUS_CODE]],DB_TBL_CONFIG_FIELDSTATUSCODES[#All],4,FALSE),"")</f>
        <v xml:space="preserve"> </v>
      </c>
      <c r="P139" s="7" t="b">
        <f>TRUE</f>
        <v>1</v>
      </c>
      <c r="Q139" s="7" t="b">
        <f>TRUE</f>
        <v>1</v>
      </c>
      <c r="R139" s="1" t="s">
        <v>40</v>
      </c>
      <c r="S139" s="7">
        <f ca="1">IF(DB_TBL_DATA_FIELDS[[#This Row],[RANGE_VALIDATION_FLAG]]="Text",LEN(DB_TBL_DATA_FIELDS[[#This Row],[FIELD_VALUE_RAW]]),IFERROR(VALUE(DB_TBL_DATA_FIELDS[[#This Row],[FIELD_VALUE_RAW]]),-1))</f>
        <v>-1</v>
      </c>
      <c r="T139" s="7">
        <v>0</v>
      </c>
      <c r="U139" s="8">
        <v>999999999999</v>
      </c>
      <c r="V139" s="7" t="b">
        <f ca="1">IF(NOT(DB_TBL_DATA_FIELDS[[#This Row],[RANGE_VALIDATION_ON_FLAG]]),TRUE,
AND(DB_TBL_DATA_FIELDS[[#This Row],[RANGE_VALUE_LEN]]&gt;=DB_TBL_DATA_FIELDS[[#This Row],[RANGE_VALIDATION_MIN]],DB_TBL_DATA_FIELDS[[#This Row],[RANGE_VALUE_LEN]]&lt;=DB_TBL_DATA_FIELDS[[#This Row],[RANGE_VALIDATION_MAX]]))</f>
        <v>0</v>
      </c>
      <c r="W139" s="7">
        <v>1</v>
      </c>
      <c r="X139" s="7">
        <f ca="1">IF(DB_TBL_DATA_FIELDS[[#This Row],[PCT_CALC_SHOW_STATUS_CODE]]=1,
DB_TBL_DATA_FIELDS[[#This Row],[FIELD_STATUS_CODE]],
IF(AND(DB_TBL_DATA_FIELDS[[#This Row],[PCT_CALC_SHOW_STATUS_CODE]]=2,DB_TBL_DATA_FIELDS[[#This Row],[FIELD_STATUS_CODE]]=0),
DB_TBL_DATA_FIELDS[[#This Row],[FIELD_STATUS_CODE]],
"")
)</f>
        <v>-1</v>
      </c>
      <c r="Y139" s="7"/>
      <c r="Z139" s="10" t="s">
        <v>2610</v>
      </c>
      <c r="AA139" s="10" t="s">
        <v>2559</v>
      </c>
      <c r="AB139" s="10"/>
      <c r="AC139" s="10"/>
      <c r="AD139" s="10"/>
      <c r="AE139" s="7"/>
    </row>
    <row r="140" spans="1:31" x14ac:dyDescent="0.3">
      <c r="A140" s="321" t="s">
        <v>2790</v>
      </c>
      <c r="B140" s="321" t="str">
        <f>IFERROR(IF(FIND(DATA_EFORM_TYPE_CODE,DB_TBL_DATA_FIELDS[[#This Row],[APPLICABLE_EFORM_LIST]])&gt;0,DATA_EFORM_TYPE_CODE,""),"")</f>
        <v>AHEAD</v>
      </c>
      <c r="C140" s="203" t="s">
        <v>2599</v>
      </c>
      <c r="D140" s="203" t="b">
        <v>0</v>
      </c>
      <c r="E140" s="204" t="b">
        <v>0</v>
      </c>
      <c r="F140" s="205" t="s">
        <v>2584</v>
      </c>
      <c r="G140" s="206" t="str">
        <f ca="1">IFERROR(VLOOKUP(DB_TBL_DATA_FIELDS[[#This Row],[FIELD_ID]],INDIRECT(DB_TBL_DATA_FIELDS[[#This Row],[SHEET_REF_CALC]]&amp;"!A:B"),2,FALSE),"")</f>
        <v/>
      </c>
      <c r="H140" s="206" t="str">
        <f ca="1">IF(DB_TBL_DATA_FIELDS[[#This Row],[FIELD_EMPTY_FLAG]],"",DB_TBL_DATA_FIELDS[[#This Row],[FIELD_REQ_FLAG]])</f>
        <v/>
      </c>
      <c r="I140" s="205" t="b">
        <f ca="1">(DB_TBL_DATA_FIELDS[[#This Row],[FIELD_VALUE_RAW]]="")</f>
        <v>1</v>
      </c>
      <c r="J140" s="205" t="s">
        <v>168</v>
      </c>
      <c r="K140" s="207" t="b">
        <f ca="1">AND(IF(DB_TBL_DATA_FIELDS[[#This Row],[FIELD_VALID_CUSTOM_LOGIC]]="",TRUE,DB_TBL_DATA_FIELDS[[#This Row],[FIELD_VALID_CUSTOM_LOGIC]]),DB_TBL_DATA_FIELDS[[#This Row],[RANGE_VALIDATION_PASSED_FLAG]])</f>
        <v>1</v>
      </c>
      <c r="L140" s="206"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40" s="332">
        <f ca="1">IF(DB_TBL_DATA_FIELDS[[#This Row],[SHEET_REF_CALC]]="","",IF(DB_TBL_DATA_FIELDS[[#This Row],[FIELD_EMPTY_FLAG]],IF(NOT(DB_TBL_DATA_FIELDS[[#This Row],[FIELD_REQ_FLAG]]),-1,1),IF(NOT(DB_TBL_DATA_FIELDS[[#This Row],[FIELD_VALID_FLAG]]),0,2)))</f>
        <v>-1</v>
      </c>
      <c r="N140" s="207" t="str">
        <f ca="1">IFERROR(VLOOKUP(DB_TBL_DATA_FIELDS[[#This Row],[FIELD_STATUS_CODE]],DB_TBL_CONFIG_FIELDSTATUSCODES[#All],3,FALSE),"")</f>
        <v>Optional</v>
      </c>
      <c r="O140" s="207" t="str">
        <f ca="1">IFERROR(VLOOKUP(DB_TBL_DATA_FIELDS[[#This Row],[FIELD_STATUS_CODE]],DB_TBL_CONFIG_FIELDSTATUSCODES[#All],4,FALSE),"")</f>
        <v xml:space="preserve"> </v>
      </c>
      <c r="P140" s="207" t="b">
        <f>TRUE</f>
        <v>1</v>
      </c>
      <c r="Q140" s="207" t="b">
        <v>0</v>
      </c>
      <c r="R140" s="203"/>
      <c r="S140" s="207">
        <f ca="1">IF(DB_TBL_DATA_FIELDS[[#This Row],[RANGE_VALIDATION_FLAG]]="Text",LEN(DB_TBL_DATA_FIELDS[[#This Row],[FIELD_VALUE_RAW]]),IFERROR(VALUE(DB_TBL_DATA_FIELDS[[#This Row],[FIELD_VALUE_RAW]]),-1))</f>
        <v>-1</v>
      </c>
      <c r="T140" s="207"/>
      <c r="U140" s="207"/>
      <c r="V140" s="207" t="b">
        <f>IF(NOT(DB_TBL_DATA_FIELDS[[#This Row],[RANGE_VALIDATION_ON_FLAG]]),TRUE,
AND(DB_TBL_DATA_FIELDS[[#This Row],[RANGE_VALUE_LEN]]&gt;=DB_TBL_DATA_FIELDS[[#This Row],[RANGE_VALIDATION_MIN]],DB_TBL_DATA_FIELDS[[#This Row],[RANGE_VALUE_LEN]]&lt;=DB_TBL_DATA_FIELDS[[#This Row],[RANGE_VALIDATION_MAX]]))</f>
        <v>1</v>
      </c>
      <c r="W140" s="202">
        <v>1</v>
      </c>
      <c r="X140" s="202">
        <f ca="1">IF(DB_TBL_DATA_FIELDS[[#This Row],[PCT_CALC_SHOW_STATUS_CODE]]=1,
DB_TBL_DATA_FIELDS[[#This Row],[FIELD_STATUS_CODE]],
IF(AND(DB_TBL_DATA_FIELDS[[#This Row],[PCT_CALC_SHOW_STATUS_CODE]]=2,DB_TBL_DATA_FIELDS[[#This Row],[FIELD_STATUS_CODE]]=0),
DB_TBL_DATA_FIELDS[[#This Row],[FIELD_STATUS_CODE]],
"")
)</f>
        <v>-1</v>
      </c>
      <c r="Y140" s="202"/>
      <c r="Z140" s="206" t="s">
        <v>2611</v>
      </c>
      <c r="AA140" s="206" t="s">
        <v>2559</v>
      </c>
      <c r="AB140" s="206"/>
      <c r="AC140" s="206"/>
      <c r="AD140" s="206"/>
      <c r="AE140" s="207" t="s">
        <v>2846</v>
      </c>
    </row>
    <row r="141" spans="1:31" x14ac:dyDescent="0.3">
      <c r="A141" s="10" t="s">
        <v>2790</v>
      </c>
      <c r="B141" s="7" t="str">
        <f>IFERROR(IF(FIND(DATA_EFORM_TYPE_CODE,DB_TBL_DATA_FIELDS[[#This Row],[APPLICABLE_EFORM_LIST]])&gt;0,DATA_EFORM_TYPE_CODE,""),"")</f>
        <v>AHEAD</v>
      </c>
      <c r="C141" s="1" t="s">
        <v>2600</v>
      </c>
      <c r="D141" s="1" t="b">
        <v>0</v>
      </c>
      <c r="E141" s="199" t="b">
        <f ca="1">IF($I$138,FALSE,TRUE)</f>
        <v>0</v>
      </c>
      <c r="F141" s="2" t="s">
        <v>2585</v>
      </c>
      <c r="G141" s="10" t="str">
        <f ca="1">IFERROR(VLOOKUP(DB_TBL_DATA_FIELDS[[#This Row],[FIELD_ID]],INDIRECT(DB_TBL_DATA_FIELDS[[#This Row],[SHEET_REF_CALC]]&amp;"!A:B"),2,FALSE),"")</f>
        <v/>
      </c>
      <c r="H141" s="44" t="str">
        <f ca="1">IF(DB_TBL_DATA_FIELDS[[#This Row],[FIELD_EMPTY_FLAG]],"",DB_TBL_DATA_FIELDS[[#This Row],[FIELD_REQ_FLAG]])</f>
        <v/>
      </c>
      <c r="I141" s="2" t="b">
        <f ca="1">(DB_TBL_DATA_FIELDS[[#This Row],[FIELD_VALUE_RAW]]="")</f>
        <v>1</v>
      </c>
      <c r="J141" s="2" t="s">
        <v>168</v>
      </c>
      <c r="K141" s="7" t="b">
        <f ca="1">AND(IF(DB_TBL_DATA_FIELDS[[#This Row],[FIELD_VALID_CUSTOM_LOGIC]]="",TRUE,DB_TBL_DATA_FIELDS[[#This Row],[FIELD_VALID_CUSTOM_LOGIC]]),DB_TBL_DATA_FIELDS[[#This Row],[RANGE_VALIDATION_PASSED_FLAG]])</f>
        <v>1</v>
      </c>
      <c r="L141"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41" s="326">
        <f ca="1">IF(DB_TBL_DATA_FIELDS[[#This Row],[SHEET_REF_CALC]]="","",IF(DB_TBL_DATA_FIELDS[[#This Row],[FIELD_EMPTY_FLAG]],IF(NOT(DB_TBL_DATA_FIELDS[[#This Row],[FIELD_REQ_FLAG]]),-1,1),IF(NOT(DB_TBL_DATA_FIELDS[[#This Row],[FIELD_VALID_FLAG]]),0,2)))</f>
        <v>-1</v>
      </c>
      <c r="N141" s="7" t="str">
        <f ca="1">IFERROR(VLOOKUP(DB_TBL_DATA_FIELDS[[#This Row],[FIELD_STATUS_CODE]],DB_TBL_CONFIG_FIELDSTATUSCODES[#All],3,FALSE),"")</f>
        <v>Optional</v>
      </c>
      <c r="O141" s="7" t="str">
        <f ca="1">IFERROR(VLOOKUP(DB_TBL_DATA_FIELDS[[#This Row],[FIELD_STATUS_CODE]],DB_TBL_CONFIG_FIELDSTATUSCODES[#All],4,FALSE),"")</f>
        <v xml:space="preserve"> </v>
      </c>
      <c r="P141" s="7" t="b">
        <f>TRUE</f>
        <v>1</v>
      </c>
      <c r="Q141" s="7" t="b">
        <v>0</v>
      </c>
      <c r="S141" s="7">
        <f ca="1">IF(DB_TBL_DATA_FIELDS[[#This Row],[RANGE_VALIDATION_FLAG]]="Text",LEN(DB_TBL_DATA_FIELDS[[#This Row],[FIELD_VALUE_RAW]]),IFERROR(VALUE(DB_TBL_DATA_FIELDS[[#This Row],[FIELD_VALUE_RAW]]),-1))</f>
        <v>-1</v>
      </c>
      <c r="T141" s="7"/>
      <c r="U141" s="7"/>
      <c r="V141" s="7" t="b">
        <f>IF(NOT(DB_TBL_DATA_FIELDS[[#This Row],[RANGE_VALIDATION_ON_FLAG]]),TRUE,
AND(DB_TBL_DATA_FIELDS[[#This Row],[RANGE_VALUE_LEN]]&gt;=DB_TBL_DATA_FIELDS[[#This Row],[RANGE_VALIDATION_MIN]],DB_TBL_DATA_FIELDS[[#This Row],[RANGE_VALUE_LEN]]&lt;=DB_TBL_DATA_FIELDS[[#This Row],[RANGE_VALIDATION_MAX]]))</f>
        <v>1</v>
      </c>
      <c r="W141" s="7">
        <v>1</v>
      </c>
      <c r="X141" s="7">
        <f ca="1">IF(DB_TBL_DATA_FIELDS[[#This Row],[PCT_CALC_SHOW_STATUS_CODE]]=1,
DB_TBL_DATA_FIELDS[[#This Row],[FIELD_STATUS_CODE]],
IF(AND(DB_TBL_DATA_FIELDS[[#This Row],[PCT_CALC_SHOW_STATUS_CODE]]=2,DB_TBL_DATA_FIELDS[[#This Row],[FIELD_STATUS_CODE]]=0),
DB_TBL_DATA_FIELDS[[#This Row],[FIELD_STATUS_CODE]],
"")
)</f>
        <v>-1</v>
      </c>
      <c r="Y141" s="7"/>
      <c r="Z141" s="10" t="s">
        <v>2612</v>
      </c>
      <c r="AA141" s="10" t="s">
        <v>2559</v>
      </c>
      <c r="AB141" s="10"/>
      <c r="AC141" s="10"/>
      <c r="AD141" s="10"/>
      <c r="AE141" s="7"/>
    </row>
    <row r="142" spans="1:31" x14ac:dyDescent="0.3">
      <c r="A142" s="10" t="s">
        <v>2790</v>
      </c>
      <c r="B142" s="7" t="str">
        <f>IFERROR(IF(FIND(DATA_EFORM_TYPE_CODE,DB_TBL_DATA_FIELDS[[#This Row],[APPLICABLE_EFORM_LIST]])&gt;0,DATA_EFORM_TYPE_CODE,""),"")</f>
        <v>AHEAD</v>
      </c>
      <c r="C142" s="1" t="s">
        <v>2613</v>
      </c>
      <c r="D142" s="1" t="b">
        <v>0</v>
      </c>
      <c r="E142" s="199" t="b">
        <v>1</v>
      </c>
      <c r="F142" s="2" t="s">
        <v>2614</v>
      </c>
      <c r="G142" s="10" t="str">
        <f ca="1">IFERROR(VLOOKUP(DB_TBL_DATA_FIELDS[[#This Row],[FIELD_ID]],INDIRECT(DB_TBL_DATA_FIELDS[[#This Row],[SHEET_REF_CALC]]&amp;"!A:B"),2,FALSE),"")</f>
        <v/>
      </c>
      <c r="H142" s="201"/>
      <c r="I142" s="2" t="b">
        <f ca="1">(DB_TBL_DATA_FIELDS[[#This Row],[FIELD_VALUE_RAW]]="")</f>
        <v>1</v>
      </c>
      <c r="J142" s="2" t="s">
        <v>168</v>
      </c>
      <c r="K142" s="7" t="b">
        <f>AND(IF(DB_TBL_DATA_FIELDS[[#This Row],[FIELD_VALID_CUSTOM_LOGIC]]="",TRUE,DB_TBL_DATA_FIELDS[[#This Row],[FIELD_VALID_CUSTOM_LOGIC]]),DB_TBL_DATA_FIELDS[[#This Row],[RANGE_VALIDATION_PASSED_FLAG]])</f>
        <v>1</v>
      </c>
      <c r="L142"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42" s="326">
        <f ca="1">IF(DB_TBL_DATA_FIELDS[[#This Row],[SHEET_REF_CALC]]="","",IF(DB_TBL_DATA_FIELDS[[#This Row],[FIELD_EMPTY_FLAG]],IF(NOT(DB_TBL_DATA_FIELDS[[#This Row],[FIELD_REQ_FLAG]]),-1,1),IF(NOT(DB_TBL_DATA_FIELDS[[#This Row],[FIELD_VALID_FLAG]]),0,2)))</f>
        <v>1</v>
      </c>
      <c r="N142" s="7" t="str">
        <f ca="1">IFERROR(VLOOKUP(DB_TBL_DATA_FIELDS[[#This Row],[FIELD_STATUS_CODE]],DB_TBL_CONFIG_FIELDSTATUSCODES[#All],3,FALSE),"")</f>
        <v>Required</v>
      </c>
      <c r="O142" s="7" t="str">
        <f ca="1">IFERROR(VLOOKUP(DB_TBL_DATA_FIELDS[[#This Row],[FIELD_STATUS_CODE]],DB_TBL_CONFIG_FIELDSTATUSCODES[#All],4,FALSE),"")</f>
        <v>i</v>
      </c>
      <c r="P142" s="7" t="b">
        <f>TRUE</f>
        <v>1</v>
      </c>
      <c r="Q142" s="7" t="b">
        <v>0</v>
      </c>
      <c r="S142" s="7">
        <f ca="1">IF(DB_TBL_DATA_FIELDS[[#This Row],[RANGE_VALIDATION_FLAG]]="Text",LEN(DB_TBL_DATA_FIELDS[[#This Row],[FIELD_VALUE_RAW]]),IFERROR(VALUE(DB_TBL_DATA_FIELDS[[#This Row],[FIELD_VALUE_RAW]]),-1))</f>
        <v>-1</v>
      </c>
      <c r="T142" s="7"/>
      <c r="U142" s="7"/>
      <c r="V142" s="7" t="b">
        <f>IF(NOT(DB_TBL_DATA_FIELDS[[#This Row],[RANGE_VALIDATION_ON_FLAG]]),TRUE,
AND(DB_TBL_DATA_FIELDS[[#This Row],[RANGE_VALUE_LEN]]&gt;=DB_TBL_DATA_FIELDS[[#This Row],[RANGE_VALIDATION_MIN]],DB_TBL_DATA_FIELDS[[#This Row],[RANGE_VALUE_LEN]]&lt;=DB_TBL_DATA_FIELDS[[#This Row],[RANGE_VALIDATION_MAX]]))</f>
        <v>1</v>
      </c>
      <c r="W142" s="7">
        <v>1</v>
      </c>
      <c r="X142" s="7">
        <f ca="1">IF(DB_TBL_DATA_FIELDS[[#This Row],[PCT_CALC_SHOW_STATUS_CODE]]=1,
DB_TBL_DATA_FIELDS[[#This Row],[FIELD_STATUS_CODE]],
IF(AND(DB_TBL_DATA_FIELDS[[#This Row],[PCT_CALC_SHOW_STATUS_CODE]]=2,DB_TBL_DATA_FIELDS[[#This Row],[FIELD_STATUS_CODE]]=0),
DB_TBL_DATA_FIELDS[[#This Row],[FIELD_STATUS_CODE]],
"")
)</f>
        <v>1</v>
      </c>
      <c r="Y142" s="7"/>
      <c r="Z142" s="10" t="s">
        <v>2615</v>
      </c>
      <c r="AA142" s="10" t="s">
        <v>2559</v>
      </c>
      <c r="AB142" s="10"/>
      <c r="AC142" s="10"/>
      <c r="AD142" s="10"/>
      <c r="AE142" s="7"/>
    </row>
    <row r="143" spans="1:31" x14ac:dyDescent="0.3">
      <c r="A143" s="10" t="s">
        <v>2790</v>
      </c>
      <c r="B143" s="7" t="str">
        <f>IFERROR(IF(FIND(DATA_EFORM_TYPE_CODE,DB_TBL_DATA_FIELDS[[#This Row],[APPLICABLE_EFORM_LIST]])&gt;0,DATA_EFORM_TYPE_CODE,""),"")</f>
        <v>AHEAD</v>
      </c>
      <c r="C143" s="1" t="s">
        <v>2616</v>
      </c>
      <c r="D143" s="1" t="b">
        <v>0</v>
      </c>
      <c r="E143" s="199" t="b">
        <f ca="1">IF(OTHER_ORG_INVOL_FLG=TRUE,TRUE,FALSE)</f>
        <v>0</v>
      </c>
      <c r="F143" s="2" t="s">
        <v>2617</v>
      </c>
      <c r="G143" s="10" t="str">
        <f ca="1">IFERROR(VLOOKUP(DB_TBL_DATA_FIELDS[[#This Row],[FIELD_ID]],INDIRECT(DB_TBL_DATA_FIELDS[[#This Row],[SHEET_REF_CALC]]&amp;"!A:B"),2,FALSE),"")</f>
        <v/>
      </c>
      <c r="H143" s="44" t="str">
        <f ca="1">IF(DB_TBL_DATA_FIELDS[[#This Row],[FIELD_EMPTY_FLAG]],"",DB_TBL_DATA_FIELDS[[#This Row],[FIELD_REQ_FLAG]])</f>
        <v/>
      </c>
      <c r="I143" s="2" t="b">
        <f ca="1">(DB_TBL_DATA_FIELDS[[#This Row],[FIELD_VALUE_RAW]]="")</f>
        <v>1</v>
      </c>
      <c r="J143" s="2" t="s">
        <v>9</v>
      </c>
      <c r="K143" s="7" t="b">
        <f ca="1">AND(IF(DB_TBL_DATA_FIELDS[[#This Row],[FIELD_VALID_CUSTOM_LOGIC]]="",TRUE,DB_TBL_DATA_FIELDS[[#This Row],[FIELD_VALID_CUSTOM_LOGIC]]),DB_TBL_DATA_FIELDS[[#This Row],[RANGE_VALIDATION_PASSED_FLAG]])</f>
        <v>1</v>
      </c>
      <c r="L143"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43" s="326">
        <f ca="1">IF(DB_TBL_DATA_FIELDS[[#This Row],[SHEET_REF_CALC]]="","",IF(DB_TBL_DATA_FIELDS[[#This Row],[FIELD_EMPTY_FLAG]],IF(NOT(DB_TBL_DATA_FIELDS[[#This Row],[FIELD_REQ_FLAG]]),-1,1),IF(NOT(DB_TBL_DATA_FIELDS[[#This Row],[FIELD_VALID_FLAG]]),0,2)))</f>
        <v>-1</v>
      </c>
      <c r="N143" s="7" t="str">
        <f ca="1">IFERROR(VLOOKUP(DB_TBL_DATA_FIELDS[[#This Row],[FIELD_STATUS_CODE]],DB_TBL_CONFIG_FIELDSTATUSCODES[#All],3,FALSE),"")</f>
        <v>Optional</v>
      </c>
      <c r="O143" s="7" t="str">
        <f ca="1">IFERROR(VLOOKUP(DB_TBL_DATA_FIELDS[[#This Row],[FIELD_STATUS_CODE]],DB_TBL_CONFIG_FIELDSTATUSCODES[#All],4,FALSE),"")</f>
        <v xml:space="preserve"> </v>
      </c>
      <c r="P143" s="7" t="b">
        <f>TRUE</f>
        <v>1</v>
      </c>
      <c r="Q143" s="7" t="b">
        <f>TRUE</f>
        <v>1</v>
      </c>
      <c r="R143" s="1" t="s">
        <v>9</v>
      </c>
      <c r="S143" s="7">
        <f ca="1">IF(DB_TBL_DATA_FIELDS[[#This Row],[RANGE_VALIDATION_FLAG]]="Text",LEN(DB_TBL_DATA_FIELDS[[#This Row],[FIELD_VALUE_RAW]]),IFERROR(VALUE(DB_TBL_DATA_FIELDS[[#This Row],[FIELD_VALUE_RAW]]),-1))</f>
        <v>0</v>
      </c>
      <c r="T143" s="7">
        <v>0</v>
      </c>
      <c r="U143" s="7">
        <v>200</v>
      </c>
      <c r="V143" s="7" t="b">
        <f ca="1">IF(NOT(DB_TBL_DATA_FIELDS[[#This Row],[RANGE_VALIDATION_ON_FLAG]]),TRUE,
AND(DB_TBL_DATA_FIELDS[[#This Row],[RANGE_VALUE_LEN]]&gt;=DB_TBL_DATA_FIELDS[[#This Row],[RANGE_VALIDATION_MIN]],DB_TBL_DATA_FIELDS[[#This Row],[RANGE_VALUE_LEN]]&lt;=DB_TBL_DATA_FIELDS[[#This Row],[RANGE_VALIDATION_MAX]]))</f>
        <v>1</v>
      </c>
      <c r="W143" s="7">
        <v>1</v>
      </c>
      <c r="X143" s="7">
        <f ca="1">IF(DB_TBL_DATA_FIELDS[[#This Row],[PCT_CALC_SHOW_STATUS_CODE]]=1,
DB_TBL_DATA_FIELDS[[#This Row],[FIELD_STATUS_CODE]],
IF(AND(DB_TBL_DATA_FIELDS[[#This Row],[PCT_CALC_SHOW_STATUS_CODE]]=2,DB_TBL_DATA_FIELDS[[#This Row],[FIELD_STATUS_CODE]]=0),
DB_TBL_DATA_FIELDS[[#This Row],[FIELD_STATUS_CODE]],
"")
)</f>
        <v>-1</v>
      </c>
      <c r="Y143" s="7"/>
      <c r="Z143" s="10" t="s">
        <v>2618</v>
      </c>
      <c r="AA143" s="10" t="s">
        <v>2559</v>
      </c>
      <c r="AB143" s="10"/>
      <c r="AC143" s="10"/>
      <c r="AD143" s="10"/>
      <c r="AE143" s="7"/>
    </row>
    <row r="144" spans="1:31" x14ac:dyDescent="0.3">
      <c r="A144" s="10" t="s">
        <v>2790</v>
      </c>
      <c r="B144" s="7" t="str">
        <f>IFERROR(IF(FIND(DATA_EFORM_TYPE_CODE,DB_TBL_DATA_FIELDS[[#This Row],[APPLICABLE_EFORM_LIST]])&gt;0,DATA_EFORM_TYPE_CODE,""),"")</f>
        <v>AHEAD</v>
      </c>
      <c r="C144" s="1" t="s">
        <v>2620</v>
      </c>
      <c r="D144" s="1" t="b">
        <v>0</v>
      </c>
      <c r="E144" s="199" t="b">
        <f ca="1">NOT($I143)</f>
        <v>0</v>
      </c>
      <c r="F144" s="2" t="s">
        <v>2621</v>
      </c>
      <c r="G144" s="10" t="str">
        <f ca="1">IFERROR(VLOOKUP(DB_TBL_DATA_FIELDS[[#This Row],[FIELD_ID]],INDIRECT(DB_TBL_DATA_FIELDS[[#This Row],[SHEET_REF_CALC]]&amp;"!A:B"),2,FALSE),"")</f>
        <v/>
      </c>
      <c r="H144" s="44" t="str">
        <f ca="1">IF(DB_TBL_DATA_FIELDS[[#This Row],[FIELD_EMPTY_FLAG]],"",AND(DB_TBL_DATA_FIELDS[[#This Row],[FIELD_REQ_FLAG]],OTHER_ORG_INVOL_FLG=TRUE))</f>
        <v/>
      </c>
      <c r="I144" s="2" t="b">
        <f ca="1">(DB_TBL_DATA_FIELDS[[#This Row],[FIELD_VALUE_RAW]]="")</f>
        <v>1</v>
      </c>
      <c r="J144" s="2" t="s">
        <v>9</v>
      </c>
      <c r="K144" s="7" t="b">
        <f ca="1">AND(IF(DB_TBL_DATA_FIELDS[[#This Row],[FIELD_VALID_CUSTOM_LOGIC]]="",TRUE,DB_TBL_DATA_FIELDS[[#This Row],[FIELD_VALID_CUSTOM_LOGIC]]),DB_TBL_DATA_FIELDS[[#This Row],[RANGE_VALIDATION_PASSED_FLAG]])</f>
        <v>1</v>
      </c>
      <c r="L144"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44" s="326">
        <f ca="1">IF(DB_TBL_DATA_FIELDS[[#This Row],[SHEET_REF_CALC]]="","",IF(DB_TBL_DATA_FIELDS[[#This Row],[FIELD_EMPTY_FLAG]],IF(NOT(DB_TBL_DATA_FIELDS[[#This Row],[FIELD_REQ_FLAG]]),-1,1),IF(NOT(DB_TBL_DATA_FIELDS[[#This Row],[FIELD_VALID_FLAG]]),0,2)))</f>
        <v>-1</v>
      </c>
      <c r="N144" s="7" t="str">
        <f ca="1">IFERROR(VLOOKUP(DB_TBL_DATA_FIELDS[[#This Row],[FIELD_STATUS_CODE]],DB_TBL_CONFIG_FIELDSTATUSCODES[#All],3,FALSE),"")</f>
        <v>Optional</v>
      </c>
      <c r="O144" s="7" t="str">
        <f ca="1">IFERROR(VLOOKUP(DB_TBL_DATA_FIELDS[[#This Row],[FIELD_STATUS_CODE]],DB_TBL_CONFIG_FIELDSTATUSCODES[#All],4,FALSE),"")</f>
        <v xml:space="preserve"> </v>
      </c>
      <c r="P144" s="7" t="b">
        <f>TRUE</f>
        <v>1</v>
      </c>
      <c r="Q144" s="7" t="b">
        <f>TRUE</f>
        <v>1</v>
      </c>
      <c r="R144" s="1" t="s">
        <v>9</v>
      </c>
      <c r="S144" s="7">
        <f ca="1">IF(DB_TBL_DATA_FIELDS[[#This Row],[RANGE_VALIDATION_FLAG]]="Text",LEN(DB_TBL_DATA_FIELDS[[#This Row],[FIELD_VALUE_RAW]]),IFERROR(VALUE(DB_TBL_DATA_FIELDS[[#This Row],[FIELD_VALUE_RAW]]),-1))</f>
        <v>0</v>
      </c>
      <c r="T144" s="7">
        <v>0</v>
      </c>
      <c r="U144" s="208">
        <v>200</v>
      </c>
      <c r="V144" s="7" t="b">
        <f ca="1">IF(NOT(DB_TBL_DATA_FIELDS[[#This Row],[RANGE_VALIDATION_ON_FLAG]]),TRUE,
AND(DB_TBL_DATA_FIELDS[[#This Row],[RANGE_VALUE_LEN]]&gt;=DB_TBL_DATA_FIELDS[[#This Row],[RANGE_VALIDATION_MIN]],DB_TBL_DATA_FIELDS[[#This Row],[RANGE_VALUE_LEN]]&lt;=DB_TBL_DATA_FIELDS[[#This Row],[RANGE_VALIDATION_MAX]]))</f>
        <v>1</v>
      </c>
      <c r="W144" s="7">
        <v>1</v>
      </c>
      <c r="X144" s="7">
        <f ca="1">IF(DB_TBL_DATA_FIELDS[[#This Row],[PCT_CALC_SHOW_STATUS_CODE]]=1,
DB_TBL_DATA_FIELDS[[#This Row],[FIELD_STATUS_CODE]],
IF(AND(DB_TBL_DATA_FIELDS[[#This Row],[PCT_CALC_SHOW_STATUS_CODE]]=2,DB_TBL_DATA_FIELDS[[#This Row],[FIELD_STATUS_CODE]]=0),
DB_TBL_DATA_FIELDS[[#This Row],[FIELD_STATUS_CODE]],
"")
)</f>
        <v>-1</v>
      </c>
      <c r="Y144" s="7"/>
      <c r="Z144" s="10" t="s">
        <v>2622</v>
      </c>
      <c r="AA144" s="10" t="s">
        <v>2559</v>
      </c>
      <c r="AB144" s="10"/>
      <c r="AC144" s="10"/>
      <c r="AD144" s="10"/>
      <c r="AE144" s="7"/>
    </row>
    <row r="145" spans="1:31" x14ac:dyDescent="0.3">
      <c r="A145" s="10" t="s">
        <v>2790</v>
      </c>
      <c r="B145" s="7" t="str">
        <f>IFERROR(IF(FIND(DATA_EFORM_TYPE_CODE,DB_TBL_DATA_FIELDS[[#This Row],[APPLICABLE_EFORM_LIST]])&gt;0,DATA_EFORM_TYPE_CODE,""),"")</f>
        <v>AHEAD</v>
      </c>
      <c r="C145" s="1" t="s">
        <v>2623</v>
      </c>
      <c r="D145" s="1" t="b">
        <v>0</v>
      </c>
      <c r="E145" s="24" t="b">
        <v>0</v>
      </c>
      <c r="F145" s="2" t="s">
        <v>2617</v>
      </c>
      <c r="G145" s="10" t="str">
        <f ca="1">IFERROR(VLOOKUP(DB_TBL_DATA_FIELDS[[#This Row],[FIELD_ID]],INDIRECT(DB_TBL_DATA_FIELDS[[#This Row],[SHEET_REF_CALC]]&amp;"!A:B"),2,FALSE),"")</f>
        <v/>
      </c>
      <c r="H145" s="44" t="str">
        <f ca="1">IF(DB_TBL_DATA_FIELDS[[#This Row],[FIELD_EMPTY_FLAG]],"",OTHER_ORG_INVOL_FLG=TRUE)</f>
        <v/>
      </c>
      <c r="I145" s="2" t="b">
        <f ca="1">(DB_TBL_DATA_FIELDS[[#This Row],[FIELD_VALUE_RAW]]="")</f>
        <v>1</v>
      </c>
      <c r="J145" s="2" t="s">
        <v>9</v>
      </c>
      <c r="K145" s="7" t="b">
        <f ca="1">AND(IF(DB_TBL_DATA_FIELDS[[#This Row],[FIELD_VALID_CUSTOM_LOGIC]]="",TRUE,DB_TBL_DATA_FIELDS[[#This Row],[FIELD_VALID_CUSTOM_LOGIC]]),DB_TBL_DATA_FIELDS[[#This Row],[RANGE_VALIDATION_PASSED_FLAG]])</f>
        <v>1</v>
      </c>
      <c r="L145"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45" s="326">
        <f ca="1">IF(DB_TBL_DATA_FIELDS[[#This Row],[SHEET_REF_CALC]]="","",IF(DB_TBL_DATA_FIELDS[[#This Row],[FIELD_EMPTY_FLAG]],IF(NOT(DB_TBL_DATA_FIELDS[[#This Row],[FIELD_REQ_FLAG]]),-1,1),IF(NOT(DB_TBL_DATA_FIELDS[[#This Row],[FIELD_VALID_FLAG]]),0,2)))</f>
        <v>-1</v>
      </c>
      <c r="N145" s="7" t="str">
        <f ca="1">IFERROR(VLOOKUP(DB_TBL_DATA_FIELDS[[#This Row],[FIELD_STATUS_CODE]],DB_TBL_CONFIG_FIELDSTATUSCODES[#All],3,FALSE),"")</f>
        <v>Optional</v>
      </c>
      <c r="O145" s="7" t="str">
        <f ca="1">IFERROR(VLOOKUP(DB_TBL_DATA_FIELDS[[#This Row],[FIELD_STATUS_CODE]],DB_TBL_CONFIG_FIELDSTATUSCODES[#All],4,FALSE),"")</f>
        <v xml:space="preserve"> </v>
      </c>
      <c r="P145" s="7" t="b">
        <f>TRUE</f>
        <v>1</v>
      </c>
      <c r="Q145" s="7" t="b">
        <f>TRUE</f>
        <v>1</v>
      </c>
      <c r="R145" s="1" t="s">
        <v>9</v>
      </c>
      <c r="S145" s="7">
        <f ca="1">IF(DB_TBL_DATA_FIELDS[[#This Row],[RANGE_VALIDATION_FLAG]]="Text",LEN(DB_TBL_DATA_FIELDS[[#This Row],[FIELD_VALUE_RAW]]),IFERROR(VALUE(DB_TBL_DATA_FIELDS[[#This Row],[FIELD_VALUE_RAW]]),-1))</f>
        <v>0</v>
      </c>
      <c r="T145" s="7">
        <v>0</v>
      </c>
      <c r="U145" s="208">
        <v>200</v>
      </c>
      <c r="V145" s="7" t="b">
        <f ca="1">IF(NOT(DB_TBL_DATA_FIELDS[[#This Row],[RANGE_VALIDATION_ON_FLAG]]),TRUE,
AND(DB_TBL_DATA_FIELDS[[#This Row],[RANGE_VALUE_LEN]]&gt;=DB_TBL_DATA_FIELDS[[#This Row],[RANGE_VALIDATION_MIN]],DB_TBL_DATA_FIELDS[[#This Row],[RANGE_VALUE_LEN]]&lt;=DB_TBL_DATA_FIELDS[[#This Row],[RANGE_VALIDATION_MAX]]))</f>
        <v>1</v>
      </c>
      <c r="W145" s="7">
        <v>1</v>
      </c>
      <c r="X145" s="7">
        <f ca="1">IF(DB_TBL_DATA_FIELDS[[#This Row],[PCT_CALC_SHOW_STATUS_CODE]]=1,
DB_TBL_DATA_FIELDS[[#This Row],[FIELD_STATUS_CODE]],
IF(AND(DB_TBL_DATA_FIELDS[[#This Row],[PCT_CALC_SHOW_STATUS_CODE]]=2,DB_TBL_DATA_FIELDS[[#This Row],[FIELD_STATUS_CODE]]=0),
DB_TBL_DATA_FIELDS[[#This Row],[FIELD_STATUS_CODE]],
"")
)</f>
        <v>-1</v>
      </c>
      <c r="Y145" s="7"/>
      <c r="Z145" s="10" t="s">
        <v>2629</v>
      </c>
      <c r="AA145" s="10" t="s">
        <v>2559</v>
      </c>
      <c r="AB145" s="10"/>
      <c r="AC145" s="10"/>
      <c r="AD145" s="10"/>
      <c r="AE145" s="7"/>
    </row>
    <row r="146" spans="1:31" x14ac:dyDescent="0.3">
      <c r="A146" s="10" t="s">
        <v>2790</v>
      </c>
      <c r="B146" s="7" t="str">
        <f>IFERROR(IF(FIND(DATA_EFORM_TYPE_CODE,DB_TBL_DATA_FIELDS[[#This Row],[APPLICABLE_EFORM_LIST]])&gt;0,DATA_EFORM_TYPE_CODE,""),"")</f>
        <v>AHEAD</v>
      </c>
      <c r="C146" s="1" t="s">
        <v>2624</v>
      </c>
      <c r="D146" s="1" t="b">
        <v>0</v>
      </c>
      <c r="E146" s="199" t="b">
        <f ca="1">NOT($I145)</f>
        <v>0</v>
      </c>
      <c r="F146" s="2" t="s">
        <v>2621</v>
      </c>
      <c r="G146" s="10" t="str">
        <f ca="1">IFERROR(VLOOKUP(DB_TBL_DATA_FIELDS[[#This Row],[FIELD_ID]],INDIRECT(DB_TBL_DATA_FIELDS[[#This Row],[SHEET_REF_CALC]]&amp;"!A:B"),2,FALSE),"")</f>
        <v/>
      </c>
      <c r="H146" s="44" t="str">
        <f ca="1">IF(DB_TBL_DATA_FIELDS[[#This Row],[FIELD_EMPTY_FLAG]],"",AND(DB_TBL_DATA_FIELDS[[#This Row],[FIELD_REQ_FLAG]],OTHER_ORG_INVOL_FLG=TRUE))</f>
        <v/>
      </c>
      <c r="I146" s="2" t="b">
        <f ca="1">(DB_TBL_DATA_FIELDS[[#This Row],[FIELD_VALUE_RAW]]="")</f>
        <v>1</v>
      </c>
      <c r="J146" s="2" t="s">
        <v>9</v>
      </c>
      <c r="K146" s="7" t="b">
        <f ca="1">AND(IF(DB_TBL_DATA_FIELDS[[#This Row],[FIELD_VALID_CUSTOM_LOGIC]]="",TRUE,DB_TBL_DATA_FIELDS[[#This Row],[FIELD_VALID_CUSTOM_LOGIC]]),DB_TBL_DATA_FIELDS[[#This Row],[RANGE_VALIDATION_PASSED_FLAG]])</f>
        <v>1</v>
      </c>
      <c r="L146"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46" s="326">
        <f ca="1">IF(DB_TBL_DATA_FIELDS[[#This Row],[SHEET_REF_CALC]]="","",IF(DB_TBL_DATA_FIELDS[[#This Row],[FIELD_EMPTY_FLAG]],IF(NOT(DB_TBL_DATA_FIELDS[[#This Row],[FIELD_REQ_FLAG]]),-1,1),IF(NOT(DB_TBL_DATA_FIELDS[[#This Row],[FIELD_VALID_FLAG]]),0,2)))</f>
        <v>-1</v>
      </c>
      <c r="N146" s="7" t="str">
        <f ca="1">IFERROR(VLOOKUP(DB_TBL_DATA_FIELDS[[#This Row],[FIELD_STATUS_CODE]],DB_TBL_CONFIG_FIELDSTATUSCODES[#All],3,FALSE),"")</f>
        <v>Optional</v>
      </c>
      <c r="O146" s="7" t="str">
        <f ca="1">IFERROR(VLOOKUP(DB_TBL_DATA_FIELDS[[#This Row],[FIELD_STATUS_CODE]],DB_TBL_CONFIG_FIELDSTATUSCODES[#All],4,FALSE),"")</f>
        <v xml:space="preserve"> </v>
      </c>
      <c r="P146" s="7" t="b">
        <f>TRUE</f>
        <v>1</v>
      </c>
      <c r="Q146" s="7" t="b">
        <f>TRUE</f>
        <v>1</v>
      </c>
      <c r="R146" s="1" t="s">
        <v>9</v>
      </c>
      <c r="S146" s="7">
        <f ca="1">IF(DB_TBL_DATA_FIELDS[[#This Row],[RANGE_VALIDATION_FLAG]]="Text",LEN(DB_TBL_DATA_FIELDS[[#This Row],[FIELD_VALUE_RAW]]),IFERROR(VALUE(DB_TBL_DATA_FIELDS[[#This Row],[FIELD_VALUE_RAW]]),-1))</f>
        <v>0</v>
      </c>
      <c r="T146" s="7">
        <v>0</v>
      </c>
      <c r="U146" s="208">
        <v>200</v>
      </c>
      <c r="V146" s="7" t="b">
        <f ca="1">IF(NOT(DB_TBL_DATA_FIELDS[[#This Row],[RANGE_VALIDATION_ON_FLAG]]),TRUE,
AND(DB_TBL_DATA_FIELDS[[#This Row],[RANGE_VALUE_LEN]]&gt;=DB_TBL_DATA_FIELDS[[#This Row],[RANGE_VALIDATION_MIN]],DB_TBL_DATA_FIELDS[[#This Row],[RANGE_VALUE_LEN]]&lt;=DB_TBL_DATA_FIELDS[[#This Row],[RANGE_VALIDATION_MAX]]))</f>
        <v>1</v>
      </c>
      <c r="W146" s="7">
        <v>1</v>
      </c>
      <c r="X146" s="7">
        <f ca="1">IF(DB_TBL_DATA_FIELDS[[#This Row],[PCT_CALC_SHOW_STATUS_CODE]]=1,
DB_TBL_DATA_FIELDS[[#This Row],[FIELD_STATUS_CODE]],
IF(AND(DB_TBL_DATA_FIELDS[[#This Row],[PCT_CALC_SHOW_STATUS_CODE]]=2,DB_TBL_DATA_FIELDS[[#This Row],[FIELD_STATUS_CODE]]=0),
DB_TBL_DATA_FIELDS[[#This Row],[FIELD_STATUS_CODE]],
"")
)</f>
        <v>-1</v>
      </c>
      <c r="Y146" s="7"/>
      <c r="Z146" s="10" t="s">
        <v>2630</v>
      </c>
      <c r="AA146" s="10" t="s">
        <v>2559</v>
      </c>
      <c r="AB146" s="10"/>
      <c r="AC146" s="10"/>
      <c r="AD146" s="10"/>
      <c r="AE146" s="7"/>
    </row>
    <row r="147" spans="1:31" x14ac:dyDescent="0.3">
      <c r="A147" s="10" t="s">
        <v>2790</v>
      </c>
      <c r="B147" s="7" t="str">
        <f>IFERROR(IF(FIND(DATA_EFORM_TYPE_CODE,DB_TBL_DATA_FIELDS[[#This Row],[APPLICABLE_EFORM_LIST]])&gt;0,DATA_EFORM_TYPE_CODE,""),"")</f>
        <v>AHEAD</v>
      </c>
      <c r="C147" s="1" t="s">
        <v>2625</v>
      </c>
      <c r="D147" s="1" t="b">
        <v>0</v>
      </c>
      <c r="E147" s="24" t="b">
        <v>0</v>
      </c>
      <c r="F147" s="2" t="s">
        <v>2617</v>
      </c>
      <c r="G147" s="10" t="str">
        <f ca="1">IFERROR(VLOOKUP(DB_TBL_DATA_FIELDS[[#This Row],[FIELD_ID]],INDIRECT(DB_TBL_DATA_FIELDS[[#This Row],[SHEET_REF_CALC]]&amp;"!A:B"),2,FALSE),"")</f>
        <v/>
      </c>
      <c r="H147" s="44" t="str">
        <f ca="1">IF(DB_TBL_DATA_FIELDS[[#This Row],[FIELD_EMPTY_FLAG]],"",OTHER_ORG_INVOL_FLG=TRUE)</f>
        <v/>
      </c>
      <c r="I147" s="2" t="b">
        <f ca="1">(DB_TBL_DATA_FIELDS[[#This Row],[FIELD_VALUE_RAW]]="")</f>
        <v>1</v>
      </c>
      <c r="J147" s="2" t="s">
        <v>9</v>
      </c>
      <c r="K147" s="7" t="b">
        <f ca="1">AND(IF(DB_TBL_DATA_FIELDS[[#This Row],[FIELD_VALID_CUSTOM_LOGIC]]="",TRUE,DB_TBL_DATA_FIELDS[[#This Row],[FIELD_VALID_CUSTOM_LOGIC]]),DB_TBL_DATA_FIELDS[[#This Row],[RANGE_VALIDATION_PASSED_FLAG]])</f>
        <v>1</v>
      </c>
      <c r="L147"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47" s="326">
        <f ca="1">IF(DB_TBL_DATA_FIELDS[[#This Row],[SHEET_REF_CALC]]="","",IF(DB_TBL_DATA_FIELDS[[#This Row],[FIELD_EMPTY_FLAG]],IF(NOT(DB_TBL_DATA_FIELDS[[#This Row],[FIELD_REQ_FLAG]]),-1,1),IF(NOT(DB_TBL_DATA_FIELDS[[#This Row],[FIELD_VALID_FLAG]]),0,2)))</f>
        <v>-1</v>
      </c>
      <c r="N147" s="7" t="str">
        <f ca="1">IFERROR(VLOOKUP(DB_TBL_DATA_FIELDS[[#This Row],[FIELD_STATUS_CODE]],DB_TBL_CONFIG_FIELDSTATUSCODES[#All],3,FALSE),"")</f>
        <v>Optional</v>
      </c>
      <c r="O147" s="7" t="str">
        <f ca="1">IFERROR(VLOOKUP(DB_TBL_DATA_FIELDS[[#This Row],[FIELD_STATUS_CODE]],DB_TBL_CONFIG_FIELDSTATUSCODES[#All],4,FALSE),"")</f>
        <v xml:space="preserve"> </v>
      </c>
      <c r="P147" s="7" t="b">
        <f>TRUE</f>
        <v>1</v>
      </c>
      <c r="Q147" s="7" t="b">
        <f>TRUE</f>
        <v>1</v>
      </c>
      <c r="R147" s="1" t="s">
        <v>9</v>
      </c>
      <c r="S147" s="7">
        <f ca="1">IF(DB_TBL_DATA_FIELDS[[#This Row],[RANGE_VALIDATION_FLAG]]="Text",LEN(DB_TBL_DATA_FIELDS[[#This Row],[FIELD_VALUE_RAW]]),IFERROR(VALUE(DB_TBL_DATA_FIELDS[[#This Row],[FIELD_VALUE_RAW]]),-1))</f>
        <v>0</v>
      </c>
      <c r="T147" s="7">
        <v>0</v>
      </c>
      <c r="U147" s="208">
        <v>200</v>
      </c>
      <c r="V147" s="7" t="b">
        <f ca="1">IF(NOT(DB_TBL_DATA_FIELDS[[#This Row],[RANGE_VALIDATION_ON_FLAG]]),TRUE,
AND(DB_TBL_DATA_FIELDS[[#This Row],[RANGE_VALUE_LEN]]&gt;=DB_TBL_DATA_FIELDS[[#This Row],[RANGE_VALIDATION_MIN]],DB_TBL_DATA_FIELDS[[#This Row],[RANGE_VALUE_LEN]]&lt;=DB_TBL_DATA_FIELDS[[#This Row],[RANGE_VALIDATION_MAX]]))</f>
        <v>1</v>
      </c>
      <c r="W147" s="7">
        <v>1</v>
      </c>
      <c r="X147" s="7">
        <f ca="1">IF(DB_TBL_DATA_FIELDS[[#This Row],[PCT_CALC_SHOW_STATUS_CODE]]=1,
DB_TBL_DATA_FIELDS[[#This Row],[FIELD_STATUS_CODE]],
IF(AND(DB_TBL_DATA_FIELDS[[#This Row],[PCT_CALC_SHOW_STATUS_CODE]]=2,DB_TBL_DATA_FIELDS[[#This Row],[FIELD_STATUS_CODE]]=0),
DB_TBL_DATA_FIELDS[[#This Row],[FIELD_STATUS_CODE]],
"")
)</f>
        <v>-1</v>
      </c>
      <c r="Y147" s="7"/>
      <c r="Z147" s="10" t="s">
        <v>2631</v>
      </c>
      <c r="AA147" s="10" t="s">
        <v>2559</v>
      </c>
      <c r="AB147" s="10"/>
      <c r="AC147" s="10"/>
      <c r="AD147" s="10"/>
      <c r="AE147" s="7"/>
    </row>
    <row r="148" spans="1:31" x14ac:dyDescent="0.3">
      <c r="A148" s="10" t="s">
        <v>2790</v>
      </c>
      <c r="B148" s="7" t="str">
        <f>IFERROR(IF(FIND(DATA_EFORM_TYPE_CODE,DB_TBL_DATA_FIELDS[[#This Row],[APPLICABLE_EFORM_LIST]])&gt;0,DATA_EFORM_TYPE_CODE,""),"")</f>
        <v>AHEAD</v>
      </c>
      <c r="C148" s="1" t="s">
        <v>2626</v>
      </c>
      <c r="D148" s="1" t="b">
        <v>0</v>
      </c>
      <c r="E148" s="199" t="b">
        <f ca="1">NOT($I147)</f>
        <v>0</v>
      </c>
      <c r="F148" s="2" t="s">
        <v>2621</v>
      </c>
      <c r="G148" s="10" t="str">
        <f ca="1">IFERROR(VLOOKUP(DB_TBL_DATA_FIELDS[[#This Row],[FIELD_ID]],INDIRECT(DB_TBL_DATA_FIELDS[[#This Row],[SHEET_REF_CALC]]&amp;"!A:B"),2,FALSE),"")</f>
        <v/>
      </c>
      <c r="H148" s="44" t="str">
        <f ca="1">IF(DB_TBL_DATA_FIELDS[[#This Row],[FIELD_EMPTY_FLAG]],"",AND(DB_TBL_DATA_FIELDS[[#This Row],[FIELD_REQ_FLAG]],OTHER_ORG_INVOL_FLG=TRUE))</f>
        <v/>
      </c>
      <c r="I148" s="2" t="b">
        <f ca="1">(DB_TBL_DATA_FIELDS[[#This Row],[FIELD_VALUE_RAW]]="")</f>
        <v>1</v>
      </c>
      <c r="J148" s="2" t="s">
        <v>9</v>
      </c>
      <c r="K148" s="7" t="b">
        <f ca="1">AND(IF(DB_TBL_DATA_FIELDS[[#This Row],[FIELD_VALID_CUSTOM_LOGIC]]="",TRUE,DB_TBL_DATA_FIELDS[[#This Row],[FIELD_VALID_CUSTOM_LOGIC]]),DB_TBL_DATA_FIELDS[[#This Row],[RANGE_VALIDATION_PASSED_FLAG]])</f>
        <v>1</v>
      </c>
      <c r="L148"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48" s="326">
        <f ca="1">IF(DB_TBL_DATA_FIELDS[[#This Row],[SHEET_REF_CALC]]="","",IF(DB_TBL_DATA_FIELDS[[#This Row],[FIELD_EMPTY_FLAG]],IF(NOT(DB_TBL_DATA_FIELDS[[#This Row],[FIELD_REQ_FLAG]]),-1,1),IF(NOT(DB_TBL_DATA_FIELDS[[#This Row],[FIELD_VALID_FLAG]]),0,2)))</f>
        <v>-1</v>
      </c>
      <c r="N148" s="7" t="str">
        <f ca="1">IFERROR(VLOOKUP(DB_TBL_DATA_FIELDS[[#This Row],[FIELD_STATUS_CODE]],DB_TBL_CONFIG_FIELDSTATUSCODES[#All],3,FALSE),"")</f>
        <v>Optional</v>
      </c>
      <c r="O148" s="7" t="str">
        <f ca="1">IFERROR(VLOOKUP(DB_TBL_DATA_FIELDS[[#This Row],[FIELD_STATUS_CODE]],DB_TBL_CONFIG_FIELDSTATUSCODES[#All],4,FALSE),"")</f>
        <v xml:space="preserve"> </v>
      </c>
      <c r="P148" s="7" t="b">
        <f>TRUE</f>
        <v>1</v>
      </c>
      <c r="Q148" s="7" t="b">
        <f>TRUE</f>
        <v>1</v>
      </c>
      <c r="R148" s="1" t="s">
        <v>9</v>
      </c>
      <c r="S148" s="7">
        <f ca="1">IF(DB_TBL_DATA_FIELDS[[#This Row],[RANGE_VALIDATION_FLAG]]="Text",LEN(DB_TBL_DATA_FIELDS[[#This Row],[FIELD_VALUE_RAW]]),IFERROR(VALUE(DB_TBL_DATA_FIELDS[[#This Row],[FIELD_VALUE_RAW]]),-1))</f>
        <v>0</v>
      </c>
      <c r="T148" s="7">
        <v>0</v>
      </c>
      <c r="U148" s="208">
        <v>200</v>
      </c>
      <c r="V148" s="7" t="b">
        <f ca="1">IF(NOT(DB_TBL_DATA_FIELDS[[#This Row],[RANGE_VALIDATION_ON_FLAG]]),TRUE,
AND(DB_TBL_DATA_FIELDS[[#This Row],[RANGE_VALUE_LEN]]&gt;=DB_TBL_DATA_FIELDS[[#This Row],[RANGE_VALIDATION_MIN]],DB_TBL_DATA_FIELDS[[#This Row],[RANGE_VALUE_LEN]]&lt;=DB_TBL_DATA_FIELDS[[#This Row],[RANGE_VALIDATION_MAX]]))</f>
        <v>1</v>
      </c>
      <c r="W148" s="7">
        <v>1</v>
      </c>
      <c r="X148" s="7">
        <f ca="1">IF(DB_TBL_DATA_FIELDS[[#This Row],[PCT_CALC_SHOW_STATUS_CODE]]=1,
DB_TBL_DATA_FIELDS[[#This Row],[FIELD_STATUS_CODE]],
IF(AND(DB_TBL_DATA_FIELDS[[#This Row],[PCT_CALC_SHOW_STATUS_CODE]]=2,DB_TBL_DATA_FIELDS[[#This Row],[FIELD_STATUS_CODE]]=0),
DB_TBL_DATA_FIELDS[[#This Row],[FIELD_STATUS_CODE]],
"")
)</f>
        <v>-1</v>
      </c>
      <c r="Y148" s="7"/>
      <c r="Z148" s="10" t="s">
        <v>2632</v>
      </c>
      <c r="AA148" s="10" t="s">
        <v>2559</v>
      </c>
      <c r="AB148" s="10"/>
      <c r="AC148" s="10"/>
      <c r="AD148" s="10"/>
      <c r="AE148" s="7"/>
    </row>
    <row r="149" spans="1:31" s="57" customFormat="1" ht="13.5" thickBot="1" x14ac:dyDescent="0.35">
      <c r="A149" s="10" t="s">
        <v>2790</v>
      </c>
      <c r="B149" s="7" t="str">
        <f>IFERROR(IF(FIND(DATA_EFORM_TYPE_CODE,DB_TBL_DATA_FIELDS[[#This Row],[APPLICABLE_EFORM_LIST]])&gt;0,DATA_EFORM_TYPE_CODE,""),"")</f>
        <v>AHEAD</v>
      </c>
      <c r="C149" s="1" t="s">
        <v>2627</v>
      </c>
      <c r="D149" s="1" t="b">
        <v>0</v>
      </c>
      <c r="E149" s="24" t="b">
        <v>0</v>
      </c>
      <c r="F149" s="2" t="s">
        <v>2617</v>
      </c>
      <c r="G149" s="10" t="str">
        <f ca="1">IFERROR(VLOOKUP(DB_TBL_DATA_FIELDS[[#This Row],[FIELD_ID]],INDIRECT(DB_TBL_DATA_FIELDS[[#This Row],[SHEET_REF_CALC]]&amp;"!A:B"),2,FALSE),"")</f>
        <v/>
      </c>
      <c r="H149" s="44" t="str">
        <f ca="1">IF(DB_TBL_DATA_FIELDS[[#This Row],[FIELD_EMPTY_FLAG]],"",OTHER_ORG_INVOL_FLG=TRUE)</f>
        <v/>
      </c>
      <c r="I149" s="2" t="b">
        <f ca="1">(DB_TBL_DATA_FIELDS[[#This Row],[FIELD_VALUE_RAW]]="")</f>
        <v>1</v>
      </c>
      <c r="J149" s="2" t="s">
        <v>9</v>
      </c>
      <c r="K149" s="7" t="b">
        <f ca="1">AND(IF(DB_TBL_DATA_FIELDS[[#This Row],[FIELD_VALID_CUSTOM_LOGIC]]="",TRUE,DB_TBL_DATA_FIELDS[[#This Row],[FIELD_VALID_CUSTOM_LOGIC]]),DB_TBL_DATA_FIELDS[[#This Row],[RANGE_VALIDATION_PASSED_FLAG]])</f>
        <v>1</v>
      </c>
      <c r="L149"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49" s="326">
        <f ca="1">IF(DB_TBL_DATA_FIELDS[[#This Row],[SHEET_REF_CALC]]="","",IF(DB_TBL_DATA_FIELDS[[#This Row],[FIELD_EMPTY_FLAG]],IF(NOT(DB_TBL_DATA_FIELDS[[#This Row],[FIELD_REQ_FLAG]]),-1,1),IF(NOT(DB_TBL_DATA_FIELDS[[#This Row],[FIELD_VALID_FLAG]]),0,2)))</f>
        <v>-1</v>
      </c>
      <c r="N149" s="7" t="str">
        <f ca="1">IFERROR(VLOOKUP(DB_TBL_DATA_FIELDS[[#This Row],[FIELD_STATUS_CODE]],DB_TBL_CONFIG_FIELDSTATUSCODES[#All],3,FALSE),"")</f>
        <v>Optional</v>
      </c>
      <c r="O149" s="7" t="str">
        <f ca="1">IFERROR(VLOOKUP(DB_TBL_DATA_FIELDS[[#This Row],[FIELD_STATUS_CODE]],DB_TBL_CONFIG_FIELDSTATUSCODES[#All],4,FALSE),"")</f>
        <v xml:space="preserve"> </v>
      </c>
      <c r="P149" s="7" t="b">
        <f>TRUE</f>
        <v>1</v>
      </c>
      <c r="Q149" s="7" t="b">
        <f>TRUE</f>
        <v>1</v>
      </c>
      <c r="R149" s="1" t="s">
        <v>9</v>
      </c>
      <c r="S149" s="7">
        <f ca="1">IF(DB_TBL_DATA_FIELDS[[#This Row],[RANGE_VALIDATION_FLAG]]="Text",LEN(DB_TBL_DATA_FIELDS[[#This Row],[FIELD_VALUE_RAW]]),IFERROR(VALUE(DB_TBL_DATA_FIELDS[[#This Row],[FIELD_VALUE_RAW]]),-1))</f>
        <v>0</v>
      </c>
      <c r="T149" s="7">
        <v>0</v>
      </c>
      <c r="U149" s="208">
        <v>200</v>
      </c>
      <c r="V149" s="7" t="b">
        <f ca="1">IF(NOT(DB_TBL_DATA_FIELDS[[#This Row],[RANGE_VALIDATION_ON_FLAG]]),TRUE,
AND(DB_TBL_DATA_FIELDS[[#This Row],[RANGE_VALUE_LEN]]&gt;=DB_TBL_DATA_FIELDS[[#This Row],[RANGE_VALIDATION_MIN]],DB_TBL_DATA_FIELDS[[#This Row],[RANGE_VALUE_LEN]]&lt;=DB_TBL_DATA_FIELDS[[#This Row],[RANGE_VALIDATION_MAX]]))</f>
        <v>1</v>
      </c>
      <c r="W149" s="7">
        <v>1</v>
      </c>
      <c r="X149" s="7">
        <f ca="1">IF(DB_TBL_DATA_FIELDS[[#This Row],[PCT_CALC_SHOW_STATUS_CODE]]=1,
DB_TBL_DATA_FIELDS[[#This Row],[FIELD_STATUS_CODE]],
IF(AND(DB_TBL_DATA_FIELDS[[#This Row],[PCT_CALC_SHOW_STATUS_CODE]]=2,DB_TBL_DATA_FIELDS[[#This Row],[FIELD_STATUS_CODE]]=0),
DB_TBL_DATA_FIELDS[[#This Row],[FIELD_STATUS_CODE]],
"")
)</f>
        <v>-1</v>
      </c>
      <c r="Y149" s="7"/>
      <c r="Z149" s="10" t="s">
        <v>2633</v>
      </c>
      <c r="AA149" s="10" t="s">
        <v>2559</v>
      </c>
      <c r="AB149" s="10"/>
      <c r="AC149" s="10"/>
      <c r="AD149" s="10"/>
      <c r="AE149" s="7"/>
    </row>
    <row r="150" spans="1:31" ht="13.5" thickBot="1" x14ac:dyDescent="0.35">
      <c r="A150" s="62" t="s">
        <v>2790</v>
      </c>
      <c r="B150" s="58" t="str">
        <f>IFERROR(IF(FIND(DATA_EFORM_TYPE_CODE,DB_TBL_DATA_FIELDS[[#This Row],[APPLICABLE_EFORM_LIST]])&gt;0,DATA_EFORM_TYPE_CODE,""),"")</f>
        <v>AHEAD</v>
      </c>
      <c r="C150" s="57" t="s">
        <v>2628</v>
      </c>
      <c r="D150" s="57" t="b">
        <v>0</v>
      </c>
      <c r="E150" s="242" t="b">
        <f ca="1">NOT($I149)</f>
        <v>0</v>
      </c>
      <c r="F150" s="61" t="s">
        <v>2621</v>
      </c>
      <c r="G150" s="62" t="str">
        <f ca="1">IFERROR(VLOOKUP(DB_TBL_DATA_FIELDS[[#This Row],[FIELD_ID]],INDIRECT(DB_TBL_DATA_FIELDS[[#This Row],[SHEET_REF_CALC]]&amp;"!A:B"),2,FALSE),"")</f>
        <v/>
      </c>
      <c r="H150" s="64" t="str">
        <f ca="1">IF(DB_TBL_DATA_FIELDS[[#This Row],[FIELD_EMPTY_FLAG]],"",AND(DB_TBL_DATA_FIELDS[[#This Row],[FIELD_REQ_FLAG]],OTHER_ORG_INVOL_FLG=TRUE))</f>
        <v/>
      </c>
      <c r="I150" s="61" t="b">
        <f ca="1">(DB_TBL_DATA_FIELDS[[#This Row],[FIELD_VALUE_RAW]]="")</f>
        <v>1</v>
      </c>
      <c r="J150" s="61" t="s">
        <v>9</v>
      </c>
      <c r="K150" s="58" t="b">
        <f ca="1">AND(IF(DB_TBL_DATA_FIELDS[[#This Row],[FIELD_VALID_CUSTOM_LOGIC]]="",TRUE,DB_TBL_DATA_FIELDS[[#This Row],[FIELD_VALID_CUSTOM_LOGIC]]),DB_TBL_DATA_FIELDS[[#This Row],[RANGE_VALIDATION_PASSED_FLAG]])</f>
        <v>1</v>
      </c>
      <c r="L150" s="62"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50" s="329">
        <f ca="1">IF(DB_TBL_DATA_FIELDS[[#This Row],[SHEET_REF_CALC]]="","",IF(DB_TBL_DATA_FIELDS[[#This Row],[FIELD_EMPTY_FLAG]],IF(NOT(DB_TBL_DATA_FIELDS[[#This Row],[FIELD_REQ_FLAG]]),-1,1),IF(NOT(DB_TBL_DATA_FIELDS[[#This Row],[FIELD_VALID_FLAG]]),0,2)))</f>
        <v>-1</v>
      </c>
      <c r="N150" s="58" t="str">
        <f ca="1">IFERROR(VLOOKUP(DB_TBL_DATA_FIELDS[[#This Row],[FIELD_STATUS_CODE]],DB_TBL_CONFIG_FIELDSTATUSCODES[#All],3,FALSE),"")</f>
        <v>Optional</v>
      </c>
      <c r="O150" s="58" t="str">
        <f ca="1">IFERROR(VLOOKUP(DB_TBL_DATA_FIELDS[[#This Row],[FIELD_STATUS_CODE]],DB_TBL_CONFIG_FIELDSTATUSCODES[#All],4,FALSE),"")</f>
        <v xml:space="preserve"> </v>
      </c>
      <c r="P150" s="58" t="b">
        <f>TRUE</f>
        <v>1</v>
      </c>
      <c r="Q150" s="58" t="b">
        <f>TRUE</f>
        <v>1</v>
      </c>
      <c r="R150" s="57" t="s">
        <v>9</v>
      </c>
      <c r="S150" s="58">
        <f ca="1">IF(DB_TBL_DATA_FIELDS[[#This Row],[RANGE_VALIDATION_FLAG]]="Text",LEN(DB_TBL_DATA_FIELDS[[#This Row],[FIELD_VALUE_RAW]]),IFERROR(VALUE(DB_TBL_DATA_FIELDS[[#This Row],[FIELD_VALUE_RAW]]),-1))</f>
        <v>0</v>
      </c>
      <c r="T150" s="58">
        <v>0</v>
      </c>
      <c r="U150" s="243">
        <v>200</v>
      </c>
      <c r="V150" s="58" t="b">
        <f ca="1">IF(NOT(DB_TBL_DATA_FIELDS[[#This Row],[RANGE_VALIDATION_ON_FLAG]]),TRUE,
AND(DB_TBL_DATA_FIELDS[[#This Row],[RANGE_VALUE_LEN]]&gt;=DB_TBL_DATA_FIELDS[[#This Row],[RANGE_VALIDATION_MIN]],DB_TBL_DATA_FIELDS[[#This Row],[RANGE_VALUE_LEN]]&lt;=DB_TBL_DATA_FIELDS[[#This Row],[RANGE_VALIDATION_MAX]]))</f>
        <v>1</v>
      </c>
      <c r="W150" s="58">
        <v>1</v>
      </c>
      <c r="X150" s="58">
        <f ca="1">IF(DB_TBL_DATA_FIELDS[[#This Row],[PCT_CALC_SHOW_STATUS_CODE]]=1,
DB_TBL_DATA_FIELDS[[#This Row],[FIELD_STATUS_CODE]],
IF(AND(DB_TBL_DATA_FIELDS[[#This Row],[PCT_CALC_SHOW_STATUS_CODE]]=2,DB_TBL_DATA_FIELDS[[#This Row],[FIELD_STATUS_CODE]]=0),
DB_TBL_DATA_FIELDS[[#This Row],[FIELD_STATUS_CODE]],
"")
)</f>
        <v>-1</v>
      </c>
      <c r="Y150" s="58"/>
      <c r="Z150" s="62" t="s">
        <v>2634</v>
      </c>
      <c r="AA150" s="62" t="s">
        <v>2559</v>
      </c>
      <c r="AB150" s="62"/>
      <c r="AC150" s="62"/>
      <c r="AD150" s="62"/>
      <c r="AE150" s="58"/>
    </row>
    <row r="151" spans="1:31" x14ac:dyDescent="0.3">
      <c r="A151" s="10" t="s">
        <v>2790</v>
      </c>
      <c r="B151" s="7" t="str">
        <f>IFERROR(IF(FIND(DATA_EFORM_TYPE_CODE,DB_TBL_DATA_FIELDS[[#This Row],[APPLICABLE_EFORM_LIST]])&gt;0,DATA_EFORM_TYPE_CODE,""),"")</f>
        <v>AHEAD</v>
      </c>
      <c r="C151" s="1" t="s">
        <v>2715</v>
      </c>
      <c r="D151" s="1" t="b">
        <v>0</v>
      </c>
      <c r="E151" s="24" t="b">
        <v>0</v>
      </c>
      <c r="F151" s="2" t="s">
        <v>2716</v>
      </c>
      <c r="G151" s="10" t="b">
        <f ca="1">IFERROR(VLOOKUP(DB_TBL_DATA_FIELDS[[#This Row],[FIELD_ID]],INDIRECT(DB_TBL_DATA_FIELDS[[#This Row],[SHEET_REF_CALC]]&amp;"!A:B"),2,FALSE),"")</f>
        <v>0</v>
      </c>
      <c r="H151" s="10"/>
      <c r="I151" s="2" t="b">
        <f ca="1">(DB_TBL_DATA_FIELDS[[#This Row],[FIELD_VALUE_RAW]]="")</f>
        <v>0</v>
      </c>
      <c r="J151" s="2" t="s">
        <v>168</v>
      </c>
      <c r="K151" s="7" t="b">
        <f>AND(IF(DB_TBL_DATA_FIELDS[[#This Row],[FIELD_VALID_CUSTOM_LOGIC]]="",TRUE,DB_TBL_DATA_FIELDS[[#This Row],[FIELD_VALID_CUSTOM_LOGIC]]),DB_TBL_DATA_FIELDS[[#This Row],[RANGE_VALIDATION_PASSED_FLAG]])</f>
        <v>1</v>
      </c>
      <c r="L151"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N</v>
      </c>
      <c r="M151" s="326">
        <f ca="1">IF(DB_TBL_DATA_FIELDS[[#This Row],[SHEET_REF_CALC]]="","",IF(DB_TBL_DATA_FIELDS[[#This Row],[FIELD_EMPTY_FLAG]],IF(NOT(DB_TBL_DATA_FIELDS[[#This Row],[FIELD_REQ_FLAG]]),-1,1),IF(NOT(DB_TBL_DATA_FIELDS[[#This Row],[FIELD_VALID_FLAG]]),0,2)))</f>
        <v>2</v>
      </c>
      <c r="N151" s="7" t="str">
        <f ca="1">IFERROR(VLOOKUP(DB_TBL_DATA_FIELDS[[#This Row],[FIELD_STATUS_CODE]],DB_TBL_CONFIG_FIELDSTATUSCODES[#All],3,FALSE),"")</f>
        <v>OK</v>
      </c>
      <c r="O151" s="7" t="str">
        <f ca="1">IFERROR(VLOOKUP(DB_TBL_DATA_FIELDS[[#This Row],[FIELD_STATUS_CODE]],DB_TBL_CONFIG_FIELDSTATUSCODES[#All],4,FALSE),"")</f>
        <v>a</v>
      </c>
      <c r="P151" s="7" t="b">
        <f>TRUE</f>
        <v>1</v>
      </c>
      <c r="Q151" s="7" t="b">
        <v>0</v>
      </c>
      <c r="S151" s="7">
        <f ca="1">IF(DB_TBL_DATA_FIELDS[[#This Row],[RANGE_VALIDATION_FLAG]]="Text",LEN(DB_TBL_DATA_FIELDS[[#This Row],[FIELD_VALUE_RAW]]),IFERROR(VALUE(DB_TBL_DATA_FIELDS[[#This Row],[FIELD_VALUE_RAW]]),-1))</f>
        <v>-1</v>
      </c>
      <c r="T151" s="7"/>
      <c r="U151" s="7"/>
      <c r="V151" s="7" t="b">
        <f>IF(NOT(DB_TBL_DATA_FIELDS[[#This Row],[RANGE_VALIDATION_ON_FLAG]]),TRUE,
AND(DB_TBL_DATA_FIELDS[[#This Row],[RANGE_VALUE_LEN]]&gt;=DB_TBL_DATA_FIELDS[[#This Row],[RANGE_VALIDATION_MIN]],DB_TBL_DATA_FIELDS[[#This Row],[RANGE_VALUE_LEN]]&lt;=DB_TBL_DATA_FIELDS[[#This Row],[RANGE_VALIDATION_MAX]]))</f>
        <v>1</v>
      </c>
      <c r="W151" s="7">
        <v>0</v>
      </c>
      <c r="X151" s="7" t="str">
        <f ca="1">IF(DB_TBL_DATA_FIELDS[[#This Row],[PCT_CALC_SHOW_STATUS_CODE]]=1,
DB_TBL_DATA_FIELDS[[#This Row],[FIELD_STATUS_CODE]],
IF(AND(DB_TBL_DATA_FIELDS[[#This Row],[PCT_CALC_SHOW_STATUS_CODE]]=2,DB_TBL_DATA_FIELDS[[#This Row],[FIELD_STATUS_CODE]]=0),
DB_TBL_DATA_FIELDS[[#This Row],[FIELD_STATUS_CODE]],
"")
)</f>
        <v/>
      </c>
      <c r="Y151" s="7"/>
      <c r="Z151" s="10" t="s">
        <v>2717</v>
      </c>
      <c r="AA151" s="10" t="s">
        <v>2718</v>
      </c>
      <c r="AB151" s="10"/>
      <c r="AC151" s="10"/>
      <c r="AD151" s="10"/>
      <c r="AE151" s="7" t="s">
        <v>2719</v>
      </c>
    </row>
    <row r="152" spans="1:31" x14ac:dyDescent="0.3">
      <c r="A152" s="10" t="s">
        <v>2790</v>
      </c>
      <c r="B152" s="7" t="str">
        <f>IFERROR(IF(FIND(DATA_EFORM_TYPE_CODE,DB_TBL_DATA_FIELDS[[#This Row],[APPLICABLE_EFORM_LIST]])&gt;0,DATA_EFORM_TYPE_CODE,""),"")</f>
        <v>AHEAD</v>
      </c>
      <c r="C152" s="245" t="s">
        <v>2720</v>
      </c>
      <c r="D152" s="245" t="b">
        <v>0</v>
      </c>
      <c r="E152" s="246" t="b">
        <v>1</v>
      </c>
      <c r="F152" s="247" t="s">
        <v>2721</v>
      </c>
      <c r="G152" s="249" t="str">
        <f ca="1">IF(APPLICATION_BUDGET_CERT_FLG=TRUE,
IF(DATA_EFORM_TYPE_CODE=EFORM_TYPE_CODE_AHEAD,
AND(BUDGET_EXCESSDEFICIENCY_BALANCE_FLAG=TRUE,BUDGET_SOF_BALANCE_FLAG=TRUE,BUDGET_UOF_BALANCE_FLAG=TRUE),
AND(DRBUDGET_EXCESSDEFICIENCY_BALANCE_FLAG=TRUE,DRBUDGET_SOF_BALANCE_FLAG=TRUE,DRBUDGET_UOF_BALANCE_FLAG=TRUE)),
"")</f>
        <v/>
      </c>
      <c r="H152" s="249" t="str">
        <f ca="1">IF(DB_TBL_DATA_FIELDS[[#This Row],[FIELD_VALUE_RAW]]="","",NOT(DB_TBL_DATA_FIELDS[[#This Row],[FIELD_VALUE_RAW]]=FALSE))</f>
        <v/>
      </c>
      <c r="I152" s="247" t="b">
        <f ca="1">(DB_TBL_DATA_FIELDS[[#This Row],[FIELD_VALUE_RAW]]="")</f>
        <v>1</v>
      </c>
      <c r="J152" s="247" t="s">
        <v>168</v>
      </c>
      <c r="K152" s="244" t="b">
        <f ca="1">AND(IF(DB_TBL_DATA_FIELDS[[#This Row],[FIELD_VALID_CUSTOM_LOGIC]]="",TRUE,DB_TBL_DATA_FIELDS[[#This Row],[FIELD_VALID_CUSTOM_LOGIC]]),DB_TBL_DATA_FIELDS[[#This Row],[RANGE_VALIDATION_PASSED_FLAG]])</f>
        <v>1</v>
      </c>
      <c r="L152" s="248"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52" s="334">
        <f ca="1">IF(DB_TBL_DATA_FIELDS[[#This Row],[SHEET_REF_CALC]]="","",IF(DB_TBL_DATA_FIELDS[[#This Row],[FIELD_EMPTY_FLAG]],IF(NOT(DB_TBL_DATA_FIELDS[[#This Row],[FIELD_REQ_FLAG]]),-1,1),IF(NOT(DB_TBL_DATA_FIELDS[[#This Row],[FIELD_VALID_FLAG]]),0,2)))</f>
        <v>1</v>
      </c>
      <c r="N152" s="244" t="str">
        <f ca="1">IFERROR(VLOOKUP(DB_TBL_DATA_FIELDS[[#This Row],[FIELD_STATUS_CODE]],DB_TBL_CONFIG_FIELDSTATUSCODES[#All],3,FALSE),"")</f>
        <v>Required</v>
      </c>
      <c r="O152" s="244" t="str">
        <f ca="1">IFERROR(VLOOKUP(DB_TBL_DATA_FIELDS[[#This Row],[FIELD_STATUS_CODE]],DB_TBL_CONFIG_FIELDSTATUSCODES[#All],4,FALSE),"")</f>
        <v>i</v>
      </c>
      <c r="P152" s="244" t="b">
        <f>TRUE</f>
        <v>1</v>
      </c>
      <c r="Q152" s="244" t="b">
        <v>0</v>
      </c>
      <c r="R152" s="245"/>
      <c r="S152" s="244">
        <f ca="1">IF(DB_TBL_DATA_FIELDS[[#This Row],[RANGE_VALIDATION_FLAG]]="Text",LEN(DB_TBL_DATA_FIELDS[[#This Row],[FIELD_VALUE_RAW]]),IFERROR(VALUE(DB_TBL_DATA_FIELDS[[#This Row],[FIELD_VALUE_RAW]]),-1))</f>
        <v>-1</v>
      </c>
      <c r="T152" s="244"/>
      <c r="U152" s="244"/>
      <c r="V152" s="244" t="b">
        <f>IF(NOT(DB_TBL_DATA_FIELDS[[#This Row],[RANGE_VALIDATION_ON_FLAG]]),TRUE,
AND(DB_TBL_DATA_FIELDS[[#This Row],[RANGE_VALUE_LEN]]&gt;=DB_TBL_DATA_FIELDS[[#This Row],[RANGE_VALIDATION_MIN]],DB_TBL_DATA_FIELDS[[#This Row],[RANGE_VALUE_LEN]]&lt;=DB_TBL_DATA_FIELDS[[#This Row],[RANGE_VALIDATION_MAX]]))</f>
        <v>1</v>
      </c>
      <c r="W152" s="244">
        <v>1</v>
      </c>
      <c r="X152" s="244">
        <f ca="1">IF(DB_TBL_DATA_FIELDS[[#This Row],[PCT_CALC_SHOW_STATUS_CODE]]=1,
DB_TBL_DATA_FIELDS[[#This Row],[FIELD_STATUS_CODE]],
IF(AND(DB_TBL_DATA_FIELDS[[#This Row],[PCT_CALC_SHOW_STATUS_CODE]]=2,DB_TBL_DATA_FIELDS[[#This Row],[FIELD_STATUS_CODE]]=0),
DB_TBL_DATA_FIELDS[[#This Row],[FIELD_STATUS_CODE]],
"")
)</f>
        <v>1</v>
      </c>
      <c r="Y152" s="75" t="str">
        <f ca="1">IF(DB_TBL_DATA_FIELDS[[#This Row],[FIELD_STATUS_CODE]]=0,IF(NOT(DB_TBL_DATA_FIELDS[[#This Row],[FIELD_VALID_CUSTOM_LOGIC]]),
"Application Budget does not balance; please navigate to the Application Budget worksheet to review and correct errors.",""),"")</f>
        <v/>
      </c>
      <c r="Z152" s="248" t="s">
        <v>2717</v>
      </c>
      <c r="AA152" s="248" t="s">
        <v>2718</v>
      </c>
      <c r="AB152" s="248"/>
      <c r="AC152" s="248"/>
      <c r="AD152" s="248"/>
      <c r="AE152" s="244" t="s">
        <v>2722</v>
      </c>
    </row>
    <row r="153" spans="1:31" x14ac:dyDescent="0.3">
      <c r="A153" s="10" t="s">
        <v>2790</v>
      </c>
      <c r="B153" s="7" t="str">
        <f>IFERROR(IF(FIND(DATA_EFORM_TYPE_CODE,DB_TBL_DATA_FIELDS[[#This Row],[APPLICABLE_EFORM_LIST]])&gt;0,DATA_EFORM_TYPE_CODE,""),"")</f>
        <v>AHEAD</v>
      </c>
      <c r="C153" s="1" t="s">
        <v>2747</v>
      </c>
      <c r="D153" s="1" t="b">
        <v>1</v>
      </c>
      <c r="E153" s="24" t="b">
        <v>0</v>
      </c>
      <c r="F153" s="2" t="s">
        <v>2748</v>
      </c>
      <c r="G153" s="249" t="str">
        <f ca="1">IF(AND(IF(DATA_EFORM_TYPE_CODE=EFORM_TYPE_CODE_AHEAD,BUDGET_TOTAL_INCOME,DRBUDGET_TOTAL_INCOME)&lt;&gt;"",SUBSIDY_AMOUNT_REQUESTED&lt;&gt;""),IF(DATA_EFORM_TYPE_CODE=EFORM_TYPE_CODE_AHEAD,BUDGET_TOTAL_INCOME,DRBUDGET_TOTAL_INCOME)-SUBSIDY_AMOUNT_REQUESTED,"")</f>
        <v/>
      </c>
      <c r="H153" s="10"/>
      <c r="I153" s="2" t="b">
        <f ca="1">(DB_TBL_DATA_FIELDS[[#This Row],[FIELD_VALUE_RAW]]="")</f>
        <v>1</v>
      </c>
      <c r="J153" s="2" t="s">
        <v>40</v>
      </c>
      <c r="K153" s="7" t="b">
        <f>AND(IF(DB_TBL_DATA_FIELDS[[#This Row],[FIELD_VALID_CUSTOM_LOGIC]]="",TRUE,DB_TBL_DATA_FIELDS[[#This Row],[FIELD_VALID_CUSTOM_LOGIC]]),DB_TBL_DATA_FIELDS[[#This Row],[RANGE_VALIDATION_PASSED_FLAG]])</f>
        <v>1</v>
      </c>
      <c r="L153" s="10" t="str">
        <f ca="1">IF(AND(DB_TBL_DATA_FIELDS[[#This Row],[FIELD_VALID_FLAG]],NOT(DB_TBL_DATA_FIELDS[[#This Row],[FIELD_EMPTY_FLAG]])),
IF(AND(DB_TBL_DATA_FIELDS[[#This Row],[FIELD_TYPE]]="Text",DB_TBL_DATA_FIELDS[[#This Row],[TRIM_TEXT_FLAG]]),TRIM(DB_TBL_DATA_FIELDS[[#This Row],[FIELD_VALUE_RAW]]),
IF(DB_TBL_DATA_FIELDS[[#This Row],[FIELD_TYPE]]="Boolean",IF(OR(DB_TBL_DATA_FIELDS[[#This Row],[FIELD_VALUE_RAW]]=1,DB_TBL_DATA_FIELDS[[#This Row],[FIELD_VALUE_RAW]]=TRUE),TRUE,FALSE),
IF(DB_TBL_DATA_FIELDS[[#This Row],[FIELD_TYPE]]="Y/N",IF(OR(DB_TBL_DATA_FIELDS[[#This Row],[FIELD_VALUE_RAW]]=1,DB_TBL_DATA_FIELDS[[#This Row],[FIELD_VALUE_RAW]]=TRUE),"Y","N"),
IF(DB_TBL_DATA_FIELDS[[#This Row],[FIELD_TYPE]]="Y/N/NA",IF(OR(DB_TBL_DATA_FIELDS[[#This Row],[FIELD_VALUE_RAW]]=1,DB_TBL_DATA_FIELDS[[#This Row],[FIELD_VALUE_RAW]]=TRUE),"Y",IF(OR(DB_TBL_DATA_FIELDS[[#This Row],[FIELD_VALUE_RAW]]=0,DB_TBL_DATA_FIELDS[[#This Row],[FIELD_VALUE_RAW]]=FALSE),"N","N/A")),
DB_TBL_DATA_FIELDS[[#This Row],[FIELD_VALUE_RAW]])))),
"")</f>
        <v/>
      </c>
      <c r="M153" s="326">
        <f ca="1">IF(DB_TBL_DATA_FIELDS[[#This Row],[SHEET_REF_CALC]]="","",IF(DB_TBL_DATA_FIELDS[[#This Row],[FIELD_EMPTY_FLAG]],IF(NOT(DB_TBL_DATA_FIELDS[[#This Row],[FIELD_REQ_FLAG]]),-1,1),IF(NOT(DB_TBL_DATA_FIELDS[[#This Row],[FIELD_VALID_FLAG]]),0,2)))</f>
        <v>-1</v>
      </c>
      <c r="N153" s="7" t="str">
        <f ca="1">IFERROR(VLOOKUP(DB_TBL_DATA_FIELDS[[#This Row],[FIELD_STATUS_CODE]],DB_TBL_CONFIG_FIELDSTATUSCODES[#All],3,FALSE),"")</f>
        <v>Optional</v>
      </c>
      <c r="O153" s="7" t="str">
        <f ca="1">IFERROR(VLOOKUP(DB_TBL_DATA_FIELDS[[#This Row],[FIELD_STATUS_CODE]],DB_TBL_CONFIG_FIELDSTATUSCODES[#All],4,FALSE),"")</f>
        <v xml:space="preserve"> </v>
      </c>
      <c r="P153" s="7" t="b">
        <f>TRUE</f>
        <v>1</v>
      </c>
      <c r="Q153" s="7" t="b">
        <v>0</v>
      </c>
      <c r="S153" s="7">
        <f ca="1">IF(DB_TBL_DATA_FIELDS[[#This Row],[RANGE_VALIDATION_FLAG]]="Text",LEN(DB_TBL_DATA_FIELDS[[#This Row],[FIELD_VALUE_RAW]]),IFERROR(VALUE(DB_TBL_DATA_FIELDS[[#This Row],[FIELD_VALUE_RAW]]),-1))</f>
        <v>-1</v>
      </c>
      <c r="T153" s="7"/>
      <c r="U153" s="7"/>
      <c r="V153" s="7" t="b">
        <f>IF(NOT(DB_TBL_DATA_FIELDS[[#This Row],[RANGE_VALIDATION_ON_FLAG]]),TRUE,
AND(DB_TBL_DATA_FIELDS[[#This Row],[RANGE_VALUE_LEN]]&gt;=DB_TBL_DATA_FIELDS[[#This Row],[RANGE_VALIDATION_MIN]],DB_TBL_DATA_FIELDS[[#This Row],[RANGE_VALUE_LEN]]&lt;=DB_TBL_DATA_FIELDS[[#This Row],[RANGE_VALIDATION_MAX]]))</f>
        <v>1</v>
      </c>
      <c r="W153" s="7">
        <v>0</v>
      </c>
      <c r="X153" s="7" t="str">
        <f ca="1">IF(DB_TBL_DATA_FIELDS[[#This Row],[PCT_CALC_SHOW_STATUS_CODE]]=1,
DB_TBL_DATA_FIELDS[[#This Row],[FIELD_STATUS_CODE]],
IF(AND(DB_TBL_DATA_FIELDS[[#This Row],[PCT_CALC_SHOW_STATUS_CODE]]=2,DB_TBL_DATA_FIELDS[[#This Row],[FIELD_STATUS_CODE]]=0),
DB_TBL_DATA_FIELDS[[#This Row],[FIELD_STATUS_CODE]],
"")
)</f>
        <v/>
      </c>
      <c r="Y153" s="7"/>
      <c r="Z153" s="10" t="s">
        <v>2717</v>
      </c>
      <c r="AA153" s="10" t="s">
        <v>2718</v>
      </c>
      <c r="AB153" s="10"/>
      <c r="AC153" s="10"/>
      <c r="AD153" s="10"/>
      <c r="AE153" s="7" t="s">
        <v>2749</v>
      </c>
    </row>
  </sheetData>
  <sheetProtection algorithmName="SHA-512" hashValue="QjqlKgEkxyBc96WYK07cQt5WAx3DUS7XQmozZcTYogbItDfsiXvXWYXYvVA4v8lMGGHWFbjT+PMZ6DSxu992CQ==" saltValue="3HAHbe+DR03QWZiKF3CbvQ==" spinCount="100000" sheet="1" objects="1" scenarios="1"/>
  <conditionalFormatting sqref="D2:D118">
    <cfRule type="cellIs" dxfId="5" priority="5" operator="equal">
      <formula>TRUE</formula>
    </cfRule>
  </conditionalFormatting>
  <conditionalFormatting sqref="D120:D125">
    <cfRule type="cellIs" dxfId="4" priority="8" operator="equal">
      <formula>TRUE</formula>
    </cfRule>
  </conditionalFormatting>
  <conditionalFormatting sqref="D128">
    <cfRule type="cellIs" dxfId="3" priority="4" operator="equal">
      <formula>TRUE</formula>
    </cfRule>
  </conditionalFormatting>
  <conditionalFormatting sqref="D132">
    <cfRule type="cellIs" dxfId="2" priority="3" operator="equal">
      <formula>TRUE</formula>
    </cfRule>
  </conditionalFormatting>
  <conditionalFormatting sqref="D136">
    <cfRule type="cellIs" dxfId="1" priority="2" operator="equal">
      <formula>TRUE</formula>
    </cfRule>
  </conditionalFormatting>
  <conditionalFormatting sqref="D140">
    <cfRule type="cellIs" dxfId="0" priority="1" operator="equal">
      <formula>TRUE</formula>
    </cfRule>
  </conditionalFormatting>
  <pageMargins left="0.7" right="0.7" top="0.75" bottom="0.75" header="0.3" footer="0.3"/>
  <pageSetup orientation="portrait" r:id="rId1"/>
  <headerFooter>
    <oddFooter>&amp;L&amp;1#&amp;"Calibri"&amp;9&amp;K008000FHLBank San Francisco | Public</oddFooter>
  </headerFooter>
  <ignoredErrors>
    <ignoredError sqref="T10:T12 P10:P14 T13:U14 P17" calculatedColumn="1"/>
  </ignoredErrors>
  <legacy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BT2"/>
  <sheetViews>
    <sheetView topLeftCell="CA1" workbookViewId="0">
      <selection activeCell="CQ2" sqref="CQ2"/>
    </sheetView>
  </sheetViews>
  <sheetFormatPr defaultRowHeight="14.5" x14ac:dyDescent="0.35"/>
  <cols>
    <col min="1" max="2" width="20.7265625" customWidth="1"/>
    <col min="3" max="3" width="29.54296875" customWidth="1"/>
    <col min="4" max="4" width="14.54296875" bestFit="1" customWidth="1"/>
    <col min="5" max="5" width="14.7265625" customWidth="1"/>
    <col min="6" max="6" width="11.7265625" bestFit="1" customWidth="1"/>
    <col min="7" max="7" width="15.26953125" bestFit="1" customWidth="1"/>
    <col min="8" max="8" width="31" bestFit="1" customWidth="1"/>
    <col min="9" max="9" width="14.26953125" bestFit="1" customWidth="1"/>
    <col min="10" max="10" width="30" bestFit="1" customWidth="1"/>
    <col min="11" max="11" width="28.7265625" bestFit="1" customWidth="1"/>
    <col min="12" max="12" width="24.453125" bestFit="1" customWidth="1"/>
    <col min="13" max="13" width="14" bestFit="1" customWidth="1"/>
    <col min="14" max="14" width="20.54296875" bestFit="1" customWidth="1"/>
    <col min="15" max="15" width="24" bestFit="1" customWidth="1"/>
    <col min="16" max="16" width="19.54296875" bestFit="1" customWidth="1"/>
    <col min="17" max="17" width="26.26953125" bestFit="1" customWidth="1"/>
    <col min="18" max="18" width="30" bestFit="1" customWidth="1"/>
    <col min="19" max="19" width="22.453125" bestFit="1" customWidth="1"/>
    <col min="20" max="21" width="30.7265625" bestFit="1" customWidth="1"/>
    <col min="22" max="22" width="36.453125" bestFit="1" customWidth="1"/>
    <col min="23" max="23" width="29.7265625" bestFit="1" customWidth="1"/>
    <col min="24" max="24" width="35.26953125" bestFit="1" customWidth="1"/>
    <col min="25" max="25" width="43.26953125" bestFit="1" customWidth="1"/>
    <col min="26" max="26" width="48.7265625" bestFit="1" customWidth="1"/>
    <col min="27" max="27" width="27" bestFit="1" customWidth="1"/>
    <col min="28" max="28" width="32.54296875" bestFit="1" customWidth="1"/>
    <col min="29" max="29" width="26.26953125" bestFit="1" customWidth="1"/>
    <col min="30" max="30" width="31.7265625" bestFit="1" customWidth="1"/>
    <col min="31" max="31" width="15.26953125" bestFit="1" customWidth="1"/>
    <col min="32" max="32" width="12.7265625" bestFit="1" customWidth="1"/>
    <col min="33" max="33" width="21.7265625" bestFit="1" customWidth="1"/>
    <col min="34" max="34" width="16.26953125" bestFit="1" customWidth="1"/>
    <col min="35" max="35" width="17.7265625" bestFit="1" customWidth="1"/>
    <col min="36" max="36" width="16.26953125" bestFit="1" customWidth="1"/>
    <col min="37" max="37" width="23" bestFit="1" customWidth="1"/>
    <col min="38" max="38" width="8.54296875" bestFit="1" customWidth="1"/>
    <col min="39" max="39" width="9.7265625" bestFit="1" customWidth="1"/>
    <col min="40" max="40" width="25.7265625" bestFit="1" customWidth="1"/>
    <col min="41" max="41" width="21" bestFit="1" customWidth="1"/>
    <col min="42" max="42" width="20.7265625" bestFit="1" customWidth="1"/>
    <col min="43" max="43" width="26.7265625" bestFit="1" customWidth="1"/>
    <col min="44" max="44" width="22.26953125" bestFit="1" customWidth="1"/>
    <col min="45" max="45" width="21.7265625" bestFit="1" customWidth="1"/>
    <col min="46" max="46" width="28.26953125" bestFit="1" customWidth="1"/>
    <col min="47" max="47" width="27.54296875" bestFit="1" customWidth="1"/>
    <col min="48" max="48" width="17.7265625" bestFit="1" customWidth="1"/>
    <col min="49" max="49" width="16.26953125" bestFit="1" customWidth="1"/>
    <col min="50" max="50" width="18.7265625" bestFit="1" customWidth="1"/>
    <col min="51" max="51" width="24" bestFit="1" customWidth="1"/>
    <col min="52" max="52" width="17.453125" bestFit="1" customWidth="1"/>
    <col min="53" max="53" width="22.7265625" bestFit="1" customWidth="1"/>
    <col min="54" max="54" width="27.54296875" bestFit="1" customWidth="1"/>
    <col min="55" max="55" width="28.7265625" bestFit="1" customWidth="1"/>
    <col min="56" max="56" width="28.7265625" customWidth="1"/>
    <col min="57" max="57" width="20.453125" customWidth="1"/>
    <col min="58" max="58" width="25.7265625" bestFit="1" customWidth="1"/>
    <col min="59" max="59" width="25" bestFit="1" customWidth="1"/>
    <col min="60" max="60" width="19.54296875" bestFit="1" customWidth="1"/>
    <col min="61" max="61" width="21.54296875" customWidth="1"/>
    <col min="62" max="62" width="26.453125" customWidth="1"/>
    <col min="63" max="64" width="30.26953125" customWidth="1"/>
    <col min="65" max="65" width="27.7265625" bestFit="1" customWidth="1"/>
    <col min="66" max="66" width="28.26953125" bestFit="1" customWidth="1"/>
    <col min="67" max="67" width="27.26953125" bestFit="1" customWidth="1"/>
    <col min="68" max="68" width="27.54296875" bestFit="1" customWidth="1"/>
    <col min="69" max="69" width="32" bestFit="1" customWidth="1"/>
    <col min="70" max="70" width="14" bestFit="1" customWidth="1"/>
    <col min="71" max="71" width="14.453125" bestFit="1" customWidth="1"/>
    <col min="72" max="72" width="19" bestFit="1" customWidth="1"/>
  </cols>
  <sheetData>
    <row r="1" spans="1:72" x14ac:dyDescent="0.35">
      <c r="A1" s="31" t="s">
        <v>2351</v>
      </c>
      <c r="B1" s="31" t="s">
        <v>143</v>
      </c>
      <c r="C1" s="31" t="s">
        <v>38</v>
      </c>
      <c r="D1" s="31" t="s">
        <v>138</v>
      </c>
      <c r="E1" s="31" t="s">
        <v>139</v>
      </c>
      <c r="F1" s="31" t="s">
        <v>140</v>
      </c>
      <c r="G1" s="31" t="s">
        <v>141</v>
      </c>
      <c r="H1" s="31" t="s">
        <v>2417</v>
      </c>
      <c r="I1" s="31" t="s">
        <v>142</v>
      </c>
      <c r="J1" s="31" t="s">
        <v>2428</v>
      </c>
      <c r="K1" s="31" t="s">
        <v>2433</v>
      </c>
      <c r="L1" s="31" t="s">
        <v>2448</v>
      </c>
      <c r="M1" s="31" t="s">
        <v>2462</v>
      </c>
      <c r="N1" s="31" t="s">
        <v>2465</v>
      </c>
      <c r="O1" s="31" t="s">
        <v>2467</v>
      </c>
      <c r="P1" s="31" t="s">
        <v>2469</v>
      </c>
      <c r="Q1" s="31" t="s">
        <v>2475</v>
      </c>
      <c r="R1" s="31" t="s">
        <v>2476</v>
      </c>
      <c r="S1" s="31" t="s">
        <v>2477</v>
      </c>
      <c r="T1" s="31" t="s">
        <v>2478</v>
      </c>
      <c r="U1" s="31" t="s">
        <v>2481</v>
      </c>
      <c r="V1" s="31" t="s">
        <v>2482</v>
      </c>
      <c r="W1" s="31" t="s">
        <v>2479</v>
      </c>
      <c r="X1" s="31" t="s">
        <v>2480</v>
      </c>
      <c r="Y1" s="31" t="s">
        <v>2483</v>
      </c>
      <c r="Z1" s="31" t="s">
        <v>2484</v>
      </c>
      <c r="AA1" s="31" t="s">
        <v>2485</v>
      </c>
      <c r="AB1" s="31" t="s">
        <v>2486</v>
      </c>
      <c r="AC1" s="31" t="s">
        <v>2497</v>
      </c>
      <c r="AD1" s="31" t="s">
        <v>2498</v>
      </c>
      <c r="AE1" s="31" t="s">
        <v>2507</v>
      </c>
      <c r="AF1" s="31" t="s">
        <v>2508</v>
      </c>
      <c r="AG1" s="31" t="s">
        <v>2509</v>
      </c>
      <c r="AH1" s="31" t="s">
        <v>2510</v>
      </c>
      <c r="AI1" s="31" t="s">
        <v>2511</v>
      </c>
      <c r="AJ1" s="31" t="s">
        <v>2512</v>
      </c>
      <c r="AK1" s="31" t="s">
        <v>2521</v>
      </c>
      <c r="AL1" s="31" t="s">
        <v>2531</v>
      </c>
      <c r="AM1" s="31" t="s">
        <v>2534</v>
      </c>
      <c r="AN1" s="31" t="s">
        <v>2535</v>
      </c>
      <c r="AO1" s="31" t="s">
        <v>2536</v>
      </c>
      <c r="AP1" s="31" t="s">
        <v>2537</v>
      </c>
      <c r="AQ1" s="31" t="s">
        <v>2540</v>
      </c>
      <c r="AR1" s="31" t="s">
        <v>2541</v>
      </c>
      <c r="AS1" s="31" t="s">
        <v>2539</v>
      </c>
      <c r="AT1" s="31" t="s">
        <v>2542</v>
      </c>
      <c r="AU1" s="31" t="s">
        <v>2543</v>
      </c>
      <c r="AV1" s="31" t="s">
        <v>2544</v>
      </c>
      <c r="AW1" s="31" t="s">
        <v>2554</v>
      </c>
      <c r="AX1" s="31" t="s">
        <v>2563</v>
      </c>
      <c r="AY1" s="31" t="s">
        <v>2636</v>
      </c>
      <c r="AZ1" s="31" t="s">
        <v>2564</v>
      </c>
      <c r="BA1" s="31" t="s">
        <v>2637</v>
      </c>
      <c r="BB1" s="31" t="s">
        <v>2565</v>
      </c>
      <c r="BC1" s="31" t="s">
        <v>2574</v>
      </c>
      <c r="BD1" s="31" t="s">
        <v>2461</v>
      </c>
      <c r="BE1" s="31" t="s">
        <v>2747</v>
      </c>
      <c r="BF1" s="31" t="s">
        <v>2761</v>
      </c>
      <c r="BG1" s="31" t="s">
        <v>2760</v>
      </c>
      <c r="BH1" s="31" t="s">
        <v>2762</v>
      </c>
      <c r="BI1" s="31" t="s">
        <v>2799</v>
      </c>
      <c r="BJ1" s="31" t="s">
        <v>2801</v>
      </c>
      <c r="BK1" s="31" t="s">
        <v>2802</v>
      </c>
      <c r="BL1" s="31" t="s">
        <v>2806</v>
      </c>
      <c r="BM1" s="31" t="s">
        <v>2807</v>
      </c>
      <c r="BN1" s="31" t="s">
        <v>2811</v>
      </c>
      <c r="BO1" s="31" t="s">
        <v>2808</v>
      </c>
      <c r="BP1" s="31" t="s">
        <v>2809</v>
      </c>
      <c r="BQ1" s="31" t="s">
        <v>2810</v>
      </c>
      <c r="BR1" s="31" t="s">
        <v>2838</v>
      </c>
      <c r="BS1" s="31" t="s">
        <v>2843</v>
      </c>
      <c r="BT1" s="31" t="s">
        <v>2839</v>
      </c>
    </row>
    <row r="2" spans="1:72" x14ac:dyDescent="0.35">
      <c r="A2" s="32" t="str">
        <f>VLOOKUP(A1,DB_TBL_DATA_FIELDS[[FIELD_ID]:[FIELD_VALUE_CLEAN]],10,FALSE)</f>
        <v>2026</v>
      </c>
      <c r="B2" s="32" t="str">
        <f ca="1">VLOOKUP(B1,DB_TBL_DATA_FIELDS[[FIELD_ID]:[FIELD_VALUE_CLEAN]],10,FALSE)</f>
        <v>N</v>
      </c>
      <c r="C2" s="32" t="str">
        <f ca="1">VLOOKUP(C1,DB_TBL_DATA_FIELDS[[FIELD_ID]:[FIELD_VALUE_CLEAN]],10,FALSE)</f>
        <v/>
      </c>
      <c r="D2" s="32" t="str">
        <f ca="1">VLOOKUP(D1,DB_TBL_DATA_FIELDS[[FIELD_ID]:[FIELD_VALUE_CLEAN]],10,FALSE)</f>
        <v/>
      </c>
      <c r="E2" s="32" t="str">
        <f ca="1">VLOOKUP(E1,DB_TBL_DATA_FIELDS[[FIELD_ID]:[FIELD_VALUE_CLEAN]],10,FALSE)</f>
        <v/>
      </c>
      <c r="F2" s="32" t="str">
        <f ca="1">VLOOKUP(F1,DB_TBL_DATA_FIELDS[[FIELD_ID]:[FIELD_VALUE_CLEAN]],10,FALSE)</f>
        <v/>
      </c>
      <c r="G2" s="32" t="str">
        <f ca="1">VLOOKUP(G1,DB_TBL_DATA_FIELDS[[FIELD_ID]:[FIELD_VALUE_CLEAN]],10,FALSE)</f>
        <v/>
      </c>
      <c r="H2" s="32" t="str">
        <f ca="1">VLOOKUP(H1,DB_TBL_DATA_FIELDS[[FIELD_ID]:[FIELD_VALUE_CLEAN]],10,FALSE)</f>
        <v/>
      </c>
      <c r="I2" s="32" t="str">
        <f ca="1">VLOOKUP(I1,DB_TBL_DATA_FIELDS[[FIELD_ID]:[FIELD_VALUE_CLEAN]],10,FALSE)</f>
        <v/>
      </c>
      <c r="J2" s="32" t="str">
        <f ca="1">VLOOKUP(J1,DB_TBL_DATA_FIELDS[[FIELD_ID]:[FIELD_VALUE_CLEAN]],10,FALSE)</f>
        <v/>
      </c>
      <c r="K2" s="32" t="str">
        <f ca="1">VLOOKUP(K1,DB_TBL_DATA_FIELDS[[FIELD_ID]:[FIELD_VALUE_CLEAN]],10,FALSE)</f>
        <v/>
      </c>
      <c r="L2" s="32" t="str">
        <f ca="1">VLOOKUP(L1,DB_TBL_DATA_FIELDS[[FIELD_ID]:[FIELD_VALUE_CLEAN]],10,FALSE)</f>
        <v/>
      </c>
      <c r="M2" s="32" t="str">
        <f ca="1">VLOOKUP(M1,DB_TBL_DATA_FIELDS[[FIELD_ID]:[FIELD_VALUE_CLEAN]],10,FALSE)</f>
        <v/>
      </c>
      <c r="N2" s="32" t="str">
        <f ca="1">VLOOKUP(N1,DB_TBL_DATA_FIELDS[[FIELD_ID]:[FIELD_VALUE_CLEAN]],10,FALSE)</f>
        <v/>
      </c>
      <c r="O2" s="32" t="str">
        <f ca="1">VLOOKUP(O1,DB_TBL_DATA_FIELDS[[FIELD_ID]:[FIELD_VALUE_CLEAN]],10,FALSE)</f>
        <v/>
      </c>
      <c r="P2" s="32">
        <f ca="1">VLOOKUP(P1,DB_TBL_DATA_FIELDS[[FIELD_ID]:[FIELD_VALUE_CLEAN]],10,FALSE)</f>
        <v>0</v>
      </c>
      <c r="Q2" s="32" t="str">
        <f ca="1">VLOOKUP(Q1,DB_TBL_DATA_FIELDS[[FIELD_ID]:[FIELD_VALUE_CLEAN]],10,FALSE)</f>
        <v/>
      </c>
      <c r="R2" s="32" t="str">
        <f ca="1">VLOOKUP(R1,DB_TBL_DATA_FIELDS[[FIELD_ID]:[FIELD_VALUE_CLEAN]],10,FALSE)</f>
        <v/>
      </c>
      <c r="S2" s="32" t="str">
        <f ca="1">VLOOKUP(S1,DB_TBL_DATA_FIELDS[[FIELD_ID]:[FIELD_VALUE_CLEAN]],10,FALSE)</f>
        <v/>
      </c>
      <c r="T2" s="32" t="str">
        <f ca="1">VLOOKUP(T1,DB_TBL_DATA_FIELDS[[FIELD_ID]:[FIELD_VALUE_CLEAN]],10,FALSE)</f>
        <v/>
      </c>
      <c r="U2" s="32" t="str">
        <f ca="1">VLOOKUP(U1,DB_TBL_DATA_FIELDS[[FIELD_ID]:[FIELD_VALUE_CLEAN]],10,FALSE)</f>
        <v/>
      </c>
      <c r="V2" s="32" t="str">
        <f ca="1">VLOOKUP(V1,DB_TBL_DATA_FIELDS[[FIELD_ID]:[FIELD_VALUE_CLEAN]],10,FALSE)</f>
        <v/>
      </c>
      <c r="W2" s="32" t="str">
        <f ca="1">VLOOKUP(W1,DB_TBL_DATA_FIELDS[[FIELD_ID]:[FIELD_VALUE_CLEAN]],10,FALSE)</f>
        <v/>
      </c>
      <c r="X2" s="32" t="str">
        <f ca="1">VLOOKUP(X1,DB_TBL_DATA_FIELDS[[FIELD_ID]:[FIELD_VALUE_CLEAN]],10,FALSE)</f>
        <v/>
      </c>
      <c r="Y2" s="32" t="str">
        <f ca="1">VLOOKUP(Y1,DB_TBL_DATA_FIELDS[[FIELD_ID]:[FIELD_VALUE_CLEAN]],10,FALSE)</f>
        <v/>
      </c>
      <c r="Z2" s="32" t="str">
        <f ca="1">VLOOKUP(Z1,DB_TBL_DATA_FIELDS[[FIELD_ID]:[FIELD_VALUE_CLEAN]],10,FALSE)</f>
        <v/>
      </c>
      <c r="AA2" s="32" t="str">
        <f ca="1">VLOOKUP(AA1,DB_TBL_DATA_FIELDS[[FIELD_ID]:[FIELD_VALUE_CLEAN]],10,FALSE)</f>
        <v/>
      </c>
      <c r="AB2" s="32" t="str">
        <f ca="1">VLOOKUP(AB1,DB_TBL_DATA_FIELDS[[FIELD_ID]:[FIELD_VALUE_CLEAN]],10,FALSE)</f>
        <v/>
      </c>
      <c r="AC2" s="32" t="str">
        <f ca="1">VLOOKUP(AC1,DB_TBL_DATA_FIELDS[[FIELD_ID]:[FIELD_VALUE_CLEAN]],10,FALSE)</f>
        <v/>
      </c>
      <c r="AD2" s="32" t="str">
        <f ca="1">VLOOKUP(AD1,DB_TBL_DATA_FIELDS[[FIELD_ID]:[FIELD_VALUE_CLEAN]],10,FALSE)</f>
        <v/>
      </c>
      <c r="AE2" s="32" t="str">
        <f ca="1">VLOOKUP(AE1,DB_TBL_DATA_FIELDS[[FIELD_ID]:[FIELD_VALUE_CLEAN]],10,FALSE)</f>
        <v>N</v>
      </c>
      <c r="AF2" s="32" t="str">
        <f ca="1">VLOOKUP(AF1,DB_TBL_DATA_FIELDS[[FIELD_ID]:[FIELD_VALUE_CLEAN]],10,FALSE)</f>
        <v>N</v>
      </c>
      <c r="AG2" s="32" t="str">
        <f ca="1">VLOOKUP(AG1,DB_TBL_DATA_FIELDS[[FIELD_ID]:[FIELD_VALUE_CLEAN]],10,FALSE)</f>
        <v>N</v>
      </c>
      <c r="AH2" s="32" t="str">
        <f ca="1">VLOOKUP(AH1,DB_TBL_DATA_FIELDS[[FIELD_ID]:[FIELD_VALUE_CLEAN]],10,FALSE)</f>
        <v>N</v>
      </c>
      <c r="AI2" s="32" t="str">
        <f ca="1">VLOOKUP(AI1,DB_TBL_DATA_FIELDS[[FIELD_ID]:[FIELD_VALUE_CLEAN]],10,FALSE)</f>
        <v>N</v>
      </c>
      <c r="AJ2" s="32" t="str">
        <f ca="1">VLOOKUP(AJ1,DB_TBL_DATA_FIELDS[[FIELD_ID]:[FIELD_VALUE_CLEAN]],10,FALSE)</f>
        <v>N</v>
      </c>
      <c r="AK2" s="32" t="str">
        <f ca="1">VLOOKUP(AK1,DB_TBL_DATA_FIELDS[[FIELD_ID]:[FIELD_VALUE_CLEAN]],10,FALSE)</f>
        <v/>
      </c>
      <c r="AL2" s="32" t="str">
        <f ca="1">VLOOKUP(AL1,DB_TBL_DATA_FIELDS[[FIELD_ID]:[FIELD_VALUE_CLEAN]],10,FALSE)</f>
        <v/>
      </c>
      <c r="AM2" s="32" t="str">
        <f ca="1">VLOOKUP(AM1,DB_TBL_DATA_FIELDS[[FIELD_ID]:[FIELD_VALUE_CLEAN]],10,FALSE)</f>
        <v/>
      </c>
      <c r="AN2" s="32" t="str">
        <f ca="1">VLOOKUP(AN1,DB_TBL_DATA_FIELDS[[FIELD_ID]:[FIELD_VALUE_CLEAN]],10,FALSE)</f>
        <v/>
      </c>
      <c r="AO2" s="32" t="str">
        <f ca="1">VLOOKUP(AO1,DB_TBL_DATA_FIELDS[[FIELD_ID]:[FIELD_VALUE_CLEAN]],10,FALSE)</f>
        <v/>
      </c>
      <c r="AP2" s="32" t="str">
        <f ca="1">VLOOKUP(AP1,DB_TBL_DATA_FIELDS[[FIELD_ID]:[FIELD_VALUE_CLEAN]],10,FALSE)</f>
        <v/>
      </c>
      <c r="AQ2" s="32" t="str">
        <f ca="1">VLOOKUP(AQ1,DB_TBL_DATA_FIELDS[[FIELD_ID]:[FIELD_VALUE_CLEAN]],10,FALSE)</f>
        <v/>
      </c>
      <c r="AR2" s="32" t="str">
        <f ca="1">VLOOKUP(AR1,DB_TBL_DATA_FIELDS[[FIELD_ID]:[FIELD_VALUE_CLEAN]],10,FALSE)</f>
        <v/>
      </c>
      <c r="AS2" s="32" t="str">
        <f ca="1">VLOOKUP(AS1,DB_TBL_DATA_FIELDS[[FIELD_ID]:[FIELD_VALUE_CLEAN]],10,FALSE)</f>
        <v/>
      </c>
      <c r="AT2" s="32" t="str">
        <f ca="1">VLOOKUP(AT1,DB_TBL_DATA_FIELDS[[FIELD_ID]:[FIELD_VALUE_CLEAN]],10,FALSE)</f>
        <v/>
      </c>
      <c r="AU2" s="32" t="str">
        <f ca="1">VLOOKUP(AU1,DB_TBL_DATA_FIELDS[[FIELD_ID]:[FIELD_VALUE_CLEAN]],10,FALSE)</f>
        <v/>
      </c>
      <c r="AV2" s="32" t="str">
        <f ca="1">VLOOKUP(AV1,DB_TBL_DATA_FIELDS[[FIELD_ID]:[FIELD_VALUE_CLEAN]],10,FALSE)</f>
        <v/>
      </c>
      <c r="AW2" s="32" t="str">
        <f ca="1">VLOOKUP(AW1,DB_TBL_DATA_FIELDS[[FIELD_ID]:[FIELD_VALUE_CLEAN]],10,FALSE)</f>
        <v/>
      </c>
      <c r="AX2" s="32" t="str">
        <f ca="1">VLOOKUP(AX1,DB_TBL_DATA_FIELDS[[FIELD_ID]:[FIELD_VALUE_CLEAN]],10,FALSE)</f>
        <v>N</v>
      </c>
      <c r="AY2" s="32" t="str">
        <f ca="1">VLOOKUP(AY1,DB_TBL_DATA_FIELDS[[FIELD_ID]:[FIELD_VALUE_CLEAN]],10,FALSE)</f>
        <v/>
      </c>
      <c r="AZ2" s="32" t="str">
        <f ca="1">VLOOKUP(AZ1,DB_TBL_DATA_FIELDS[[FIELD_ID]:[FIELD_VALUE_CLEAN]],10,FALSE)</f>
        <v>N</v>
      </c>
      <c r="BA2" s="32" t="str">
        <f ca="1">VLOOKUP(BA1,DB_TBL_DATA_FIELDS[[FIELD_ID]:[FIELD_VALUE_CLEAN]],10,FALSE)</f>
        <v/>
      </c>
      <c r="BB2" s="32" t="str">
        <f ca="1">VLOOKUP(BB1,DB_TBL_DATA_FIELDS[[FIELD_ID]:[FIELD_VALUE_CLEAN]],10,FALSE)</f>
        <v>N</v>
      </c>
      <c r="BC2" s="32" t="str">
        <f ca="1">VLOOKUP(BC1,DB_TBL_DATA_FIELDS[[FIELD_ID]:[FIELD_VALUE_CLEAN]],10,FALSE)</f>
        <v/>
      </c>
      <c r="BD2" s="32" t="str">
        <f ca="1">VLOOKUP(BD1,DB_TBL_DATA_FIELDS[[FIELD_ID]:[FIELD_VALUE_CLEAN]],10,FALSE)</f>
        <v/>
      </c>
      <c r="BE2" s="32" t="str">
        <f ca="1">VLOOKUP(BE1,DB_TBL_DATA_FIELDS[[FIELD_ID]:[FIELD_VALUE_CLEAN]],10,FALSE)</f>
        <v/>
      </c>
      <c r="BF2" s="32" t="str">
        <f ca="1">VLOOKUP(BF1,DB_TBL_DATA_FIELDS[[FIELD_ID]:[FIELD_VALUE_CLEAN]],10,FALSE)</f>
        <v>N</v>
      </c>
      <c r="BG2" s="32" t="str">
        <f ca="1">VLOOKUP(BG1,DB_TBL_DATA_FIELDS[[FIELD_ID]:[FIELD_VALUE_CLEAN]],10,FALSE)</f>
        <v>N</v>
      </c>
      <c r="BH2" s="32" t="str">
        <f ca="1">VLOOKUP(BH1,DB_TBL_DATA_FIELDS[[FIELD_ID]:[FIELD_VALUE_CLEAN]],10,FALSE)</f>
        <v>N</v>
      </c>
      <c r="BI2" s="32" t="str">
        <f ca="1">VLOOKUP(BI1,DB_TBL_DATA_FIELDS[[FIELD_ID]:[FIELD_VALUE_CLEAN]],10,FALSE)</f>
        <v/>
      </c>
      <c r="BJ2" s="32" t="str">
        <f ca="1">VLOOKUP(BJ1,DB_TBL_DATA_FIELDS[[FIELD_ID]:[FIELD_VALUE_CLEAN]],10,FALSE)</f>
        <v/>
      </c>
      <c r="BK2" s="32" t="str">
        <f ca="1">VLOOKUP(BK1,DB_TBL_DATA_FIELDS[[FIELD_ID]:[FIELD_VALUE_CLEAN]],10,FALSE)</f>
        <v/>
      </c>
      <c r="BL2" s="32" t="str">
        <f ca="1">VLOOKUP(BL1,DB_TBL_DATA_FIELDS[[FIELD_ID]:[FIELD_VALUE_CLEAN]],10,FALSE)</f>
        <v>N</v>
      </c>
      <c r="BM2" s="32" t="str">
        <f ca="1">VLOOKUP(BM1,DB_TBL_DATA_FIELDS[[FIELD_ID]:[FIELD_VALUE_CLEAN]],10,FALSE)</f>
        <v/>
      </c>
      <c r="BN2" s="32" t="str">
        <f ca="1">VLOOKUP(BN1,DB_TBL_DATA_FIELDS[[FIELD_ID]:[FIELD_VALUE_CLEAN]],10,FALSE)</f>
        <v/>
      </c>
      <c r="BO2" s="32" t="str">
        <f ca="1">VLOOKUP(BO1,DB_TBL_DATA_FIELDS[[FIELD_ID]:[FIELD_VALUE_CLEAN]],10,FALSE)</f>
        <v/>
      </c>
      <c r="BP2" s="32" t="str">
        <f ca="1">VLOOKUP(BP1,DB_TBL_DATA_FIELDS[[FIELD_ID]:[FIELD_VALUE_CLEAN]],10,FALSE)</f>
        <v/>
      </c>
      <c r="BQ2" s="32" t="str">
        <f ca="1">VLOOKUP(BQ1,DB_TBL_DATA_FIELDS[[FIELD_ID]:[FIELD_VALUE_CLEAN]],10,FALSE)</f>
        <v/>
      </c>
      <c r="BR2" s="32" t="str">
        <f ca="1">VLOOKUP(BR1,DB_TBL_DATA_FIELDS[[FIELD_ID]:[FIELD_VALUE_CLEAN]],10,FALSE)</f>
        <v>N</v>
      </c>
      <c r="BS2" s="32" t="str">
        <f ca="1">VLOOKUP(BS1,DB_TBL_DATA_FIELDS[[FIELD_ID]:[FIELD_VALUE_CLEAN]],10,FALSE)</f>
        <v>N</v>
      </c>
      <c r="BT2" s="32" t="str">
        <f ca="1">VLOOKUP(BT1,DB_TBL_DATA_FIELDS[[FIELD_ID]:[FIELD_VALUE_CLEAN]],10,FALSE)</f>
        <v>N</v>
      </c>
    </row>
  </sheetData>
  <sheetProtection algorithmName="SHA-512" hashValue="koWVz73or8gfBZTMWMsYwE5rpwmC91otUokQ6udBy+QvAURPFDBeZUe9bKaMjOQowbbMC3WNJRBlv5Hl6Y3kSQ==" saltValue="06dc1x+kaXVwdkn5380ONQ==" spinCount="100000" sheet="1" objects="1" scenarios="1"/>
  <pageMargins left="0.7" right="0.7" top="0.75" bottom="0.75" header="0.3" footer="0.3"/>
  <pageSetup orientation="portrait" r:id="rId1"/>
  <headerFooter>
    <oddFooter>&amp;L&amp;1#&amp;"Calibri"&amp;9&amp;K008000FHLBank San Francisco | Public</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132</vt:i4>
      </vt:variant>
    </vt:vector>
  </HeadingPairs>
  <TitlesOfParts>
    <vt:vector size="139" baseType="lpstr">
      <vt:lpstr>AHEAD</vt:lpstr>
      <vt:lpstr>AHEAD_BUDGET</vt:lpstr>
      <vt:lpstr>Configuration</vt:lpstr>
      <vt:lpstr>$DB.CONFIG</vt:lpstr>
      <vt:lpstr>$DB.LOOKUP</vt:lpstr>
      <vt:lpstr>$DB.DATA</vt:lpstr>
      <vt:lpstr>$DB.EXPORT</vt:lpstr>
      <vt:lpstr>APPLICATION_BUDGET_CERT_FLG</vt:lpstr>
      <vt:lpstr>BUDGET_EXCESSDEFICIENCY_BALANCE_FLAG</vt:lpstr>
      <vt:lpstr>BUDGET_SOF_BALANCE_FLAG</vt:lpstr>
      <vt:lpstr>BUDGET_TOTAL_INCOME</vt:lpstr>
      <vt:lpstr>BUDGET_UOF_BALANCE_FLAG</vt:lpstr>
      <vt:lpstr>CONFIG_AHEAD_ROUND</vt:lpstr>
      <vt:lpstr>CONFIG_AHP_ROUND</vt:lpstr>
      <vt:lpstr>CONFIG_APP_INSTRUCTIONS_BODY</vt:lpstr>
      <vt:lpstr>CONFIG_APP_INSTRUCTIONS_TITLE</vt:lpstr>
      <vt:lpstr>CONFIG_CHAR_LIMIT_LARGE</vt:lpstr>
      <vt:lpstr>CONFIG_CHAR_LIMIT_MEDIUM</vt:lpstr>
      <vt:lpstr>CONFIG_CHAR_LIMIT_SMALL</vt:lpstr>
      <vt:lpstr>CONFIG_CHAR_LIMIT_TEMPLATE</vt:lpstr>
      <vt:lpstr>CONFIG_CHAR_LIMIT_TEMPLATE_ERR</vt:lpstr>
      <vt:lpstr>CONFIG_CHAR_LIMIT_XLARGE</vt:lpstr>
      <vt:lpstr>CONFIG_COMPLIANCE_PERIOD_END_DATE</vt:lpstr>
      <vt:lpstr>CONFIG_EARLIEST_AWARD_DATE</vt:lpstr>
      <vt:lpstr>CONFIG_EFORM_VERSION_NO</vt:lpstr>
      <vt:lpstr>CONFIG_SUBSIDY_DR_MAX</vt:lpstr>
      <vt:lpstr>CONFIG_SUBSIDY_DR_MIN</vt:lpstr>
      <vt:lpstr>CONFIG_SUBSIDY_MAX_TOTAL</vt:lpstr>
      <vt:lpstr>COUNTY_RANGE_</vt:lpstr>
      <vt:lpstr>COUNTY_RANGE_AK</vt:lpstr>
      <vt:lpstr>COUNTY_RANGE_AL</vt:lpstr>
      <vt:lpstr>COUNTY_RANGE_AR</vt:lpstr>
      <vt:lpstr>COUNTY_RANGE_AZ</vt:lpstr>
      <vt:lpstr>COUNTY_RANGE_CA</vt:lpstr>
      <vt:lpstr>COUNTY_RANGE_CO</vt:lpstr>
      <vt:lpstr>COUNTY_RANGE_CT</vt:lpstr>
      <vt:lpstr>COUNTY_RANGE_DC</vt:lpstr>
      <vt:lpstr>COUNTY_RANGE_DE</vt:lpstr>
      <vt:lpstr>COUNTY_RANGE_FL</vt:lpstr>
      <vt:lpstr>COUNTY_RANGE_GA</vt:lpstr>
      <vt:lpstr>COUNTY_RANGE_GU</vt:lpstr>
      <vt:lpstr>COUNTY_RANGE_HI</vt:lpstr>
      <vt:lpstr>COUNTY_RANGE_IA</vt:lpstr>
      <vt:lpstr>COUNTY_RANGE_ID</vt:lpstr>
      <vt:lpstr>COUNTY_RANGE_IL</vt:lpstr>
      <vt:lpstr>COUNTY_RANGE_IN</vt:lpstr>
      <vt:lpstr>COUNTY_RANGE_KS</vt:lpstr>
      <vt:lpstr>COUNTY_RANGE_KY</vt:lpstr>
      <vt:lpstr>COUNTY_RANGE_LA</vt:lpstr>
      <vt:lpstr>COUNTY_RANGE_MA</vt:lpstr>
      <vt:lpstr>COUNTY_RANGE_MD</vt:lpstr>
      <vt:lpstr>COUNTY_RANGE_ME</vt:lpstr>
      <vt:lpstr>COUNTY_RANGE_MI</vt:lpstr>
      <vt:lpstr>COUNTY_RANGE_MN</vt:lpstr>
      <vt:lpstr>COUNTY_RANGE_MO</vt:lpstr>
      <vt:lpstr>COUNTY_RANGE_MS</vt:lpstr>
      <vt:lpstr>COUNTY_RANGE_MT</vt:lpstr>
      <vt:lpstr>COUNTY_RANGE_NC</vt:lpstr>
      <vt:lpstr>COUNTY_RANGE_ND</vt:lpstr>
      <vt:lpstr>COUNTY_RANGE_NE</vt:lpstr>
      <vt:lpstr>COUNTY_RANGE_NH</vt:lpstr>
      <vt:lpstr>COUNTY_RANGE_NJ</vt:lpstr>
      <vt:lpstr>COUNTY_RANGE_NM</vt:lpstr>
      <vt:lpstr>COUNTY_RANGE_NV</vt:lpstr>
      <vt:lpstr>COUNTY_RANGE_NY</vt:lpstr>
      <vt:lpstr>COUNTY_RANGE_OH</vt:lpstr>
      <vt:lpstr>COUNTY_RANGE_OK</vt:lpstr>
      <vt:lpstr>COUNTY_RANGE_OR</vt:lpstr>
      <vt:lpstr>COUNTY_RANGE_PA</vt:lpstr>
      <vt:lpstr>COUNTY_RANGE_PR</vt:lpstr>
      <vt:lpstr>COUNTY_RANGE_RI</vt:lpstr>
      <vt:lpstr>COUNTY_RANGE_SC</vt:lpstr>
      <vt:lpstr>COUNTY_RANGE_SD</vt:lpstr>
      <vt:lpstr>COUNTY_RANGE_TN</vt:lpstr>
      <vt:lpstr>COUNTY_RANGE_TX</vt:lpstr>
      <vt:lpstr>COUNTY_RANGE_UT</vt:lpstr>
      <vt:lpstr>COUNTY_RANGE_VA</vt:lpstr>
      <vt:lpstr>COUNTY_RANGE_VI</vt:lpstr>
      <vt:lpstr>COUNTY_RANGE_VT</vt:lpstr>
      <vt:lpstr>COUNTY_RANGE_WA</vt:lpstr>
      <vt:lpstr>COUNTY_RANGE_WI</vt:lpstr>
      <vt:lpstr>COUNTY_RANGE_WV</vt:lpstr>
      <vt:lpstr>COUNTY_RANGE_WY</vt:lpstr>
      <vt:lpstr>CREATE_RETAIN_JOB_COUNT</vt:lpstr>
      <vt:lpstr>CREATE_RETAIN_JOB_FLG</vt:lpstr>
      <vt:lpstr>DATA_EFORM_TYPE_CODE</vt:lpstr>
      <vt:lpstr>EFORM_TYPE_CODE_AHEAD</vt:lpstr>
      <vt:lpstr>EFORM_TYPE_CODE_AHEAD_DR</vt:lpstr>
      <vt:lpstr>NONPROFIT_ORG_DESCRIPTION</vt:lpstr>
      <vt:lpstr>OTHER_GRANT_FLG</vt:lpstr>
      <vt:lpstr>OTHER_LOAN_FLG</vt:lpstr>
      <vt:lpstr>OTHER_LOAN_FLG_INPUT</vt:lpstr>
      <vt:lpstr>OTHER_NON_FIN_INVOL_FLG</vt:lpstr>
      <vt:lpstr>OTHER_ORG_INVOL_FLG</vt:lpstr>
      <vt:lpstr>AHEAD!Print_Area</vt:lpstr>
      <vt:lpstr>AHEAD_BUDGET!Print_Area</vt:lpstr>
      <vt:lpstr>Configuration!Print_Area</vt:lpstr>
      <vt:lpstr>AHEAD_BUDGET!Print_Titles</vt:lpstr>
      <vt:lpstr>Configuration!Print_Titles</vt:lpstr>
      <vt:lpstr>PROJ_NAME</vt:lpstr>
      <vt:lpstr>PROJECT_END_DATE</vt:lpstr>
      <vt:lpstr>PROJECT_START_DATE</vt:lpstr>
      <vt:lpstr>PROJECT_TYPE_CAPACITY</vt:lpstr>
      <vt:lpstr>PROJECT_TYPE_ENTREPRENEURIAL</vt:lpstr>
      <vt:lpstr>PROJECT_TYPE_FINCLEDU</vt:lpstr>
      <vt:lpstr>PROJECT_TYPE_HOUSINGINIT</vt:lpstr>
      <vt:lpstr>PROJECT_TYPE_JOBTRAINING</vt:lpstr>
      <vt:lpstr>PROJECT_TYPE_OTHERECONDEV</vt:lpstr>
      <vt:lpstr>PROJECT_TYPE_SELECTION</vt:lpstr>
      <vt:lpstr>PROJECT_TYPE_SOCIALSERVICES</vt:lpstr>
      <vt:lpstr>PROJECT_TYPE_TECHASSIST</vt:lpstr>
      <vt:lpstr>RANGE_LOOKUP_COUNTY_PLACEHOLDER</vt:lpstr>
      <vt:lpstr>RANGE_LOOKUP_FEMADESIGNATION</vt:lpstr>
      <vt:lpstr>RANGE_LOOKUP_PROJECTTYPE</vt:lpstr>
      <vt:lpstr>RANGE_LOOKUP_SPONSTYPE</vt:lpstr>
      <vt:lpstr>RANGE_LOOKUP_SPONSTYPE_DR</vt:lpstr>
      <vt:lpstr>RANGE_LOOKUP_STATE</vt:lpstr>
      <vt:lpstr>RANGE_LOOKUP_STATE_DISTRICT</vt:lpstr>
      <vt:lpstr>RANGE_LOOKUP_TSA</vt:lpstr>
      <vt:lpstr>RANGE_LOOKUP_TSA_CODES</vt:lpstr>
      <vt:lpstr>RANGE_LOOKUP_YESNO</vt:lpstr>
      <vt:lpstr>RANGE_LOOKUP_YESNONA</vt:lpstr>
      <vt:lpstr>SPONS_NAME</vt:lpstr>
      <vt:lpstr>SPONSOR_AHEAD_GRANT_FLG</vt:lpstr>
      <vt:lpstr>SUBSIDY_AMOUNT_REQUESTED</vt:lpstr>
      <vt:lpstr>TARGET_APP_1_START</vt:lpstr>
      <vt:lpstr>TARGET_APP_2_START</vt:lpstr>
      <vt:lpstr>TARGET_APP_3_START</vt:lpstr>
      <vt:lpstr>TARGET_APP_4_START</vt:lpstr>
      <vt:lpstr>TARGET_APP_5_START</vt:lpstr>
      <vt:lpstr>TARGET_APP_6_START</vt:lpstr>
      <vt:lpstr>TARGET_APP_7_START</vt:lpstr>
      <vt:lpstr>TARGET_APP_TOP</vt:lpstr>
      <vt:lpstr>TARGET_BUDGET_TOP</vt:lpstr>
      <vt:lpstr>TARGET_CONFIG_TOP</vt:lpstr>
      <vt:lpstr>TB_OTHER_ATRISK_FLG</vt:lpstr>
      <vt:lpstr>TSA_FLG</vt:lpstr>
      <vt:lpstr>TSA_OTHER</vt:lpstr>
      <vt:lpstr>TSA_SELECTION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2026-03-31T22:37:07Z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d6fa1ab-7943-4d93-b0ba-5b90092e2a31_Enabled">
    <vt:lpwstr>true</vt:lpwstr>
  </property>
  <property fmtid="{D5CDD505-2E9C-101B-9397-08002B2CF9AE}" pid="3" name="MSIP_Label_3d6fa1ab-7943-4d93-b0ba-5b90092e2a31_SetDate">
    <vt:lpwstr>2023-04-18T18:14:10Z</vt:lpwstr>
  </property>
  <property fmtid="{D5CDD505-2E9C-101B-9397-08002B2CF9AE}" pid="4" name="MSIP_Label_3d6fa1ab-7943-4d93-b0ba-5b90092e2a31_Method">
    <vt:lpwstr>Privileged</vt:lpwstr>
  </property>
  <property fmtid="{D5CDD505-2E9C-101B-9397-08002B2CF9AE}" pid="5" name="MSIP_Label_3d6fa1ab-7943-4d93-b0ba-5b90092e2a31_Name">
    <vt:lpwstr>Public</vt:lpwstr>
  </property>
  <property fmtid="{D5CDD505-2E9C-101B-9397-08002B2CF9AE}" pid="6" name="MSIP_Label_3d6fa1ab-7943-4d93-b0ba-5b90092e2a31_SiteId">
    <vt:lpwstr>f0780ff9-b2ea-4cc5-aac1-4c940bd78c8c</vt:lpwstr>
  </property>
  <property fmtid="{D5CDD505-2E9C-101B-9397-08002B2CF9AE}" pid="7" name="MSIP_Label_3d6fa1ab-7943-4d93-b0ba-5b90092e2a31_ActionId">
    <vt:lpwstr>bcb44989-c8aa-4a91-93b0-115daf3cc493</vt:lpwstr>
  </property>
  <property fmtid="{D5CDD505-2E9C-101B-9397-08002B2CF9AE}" pid="8" name="MSIP_Label_3d6fa1ab-7943-4d93-b0ba-5b90092e2a31_ContentBits">
    <vt:lpwstr>2</vt:lpwstr>
  </property>
</Properties>
</file>